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l+FjIp/zThNvHUYhx5QNG/5FhsQdRIX/YExPhPMcwLZ59ZiGOp7WJXa8nqhOuhWK5FZyGyzconxIYElFUA7GMw==" workbookSaltValue="hHxjSL0FtFmJCOHj1VU3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C19" i="7"/>
  <c r="AC20" i="13"/>
  <c r="EP20" i="19"/>
  <c r="BD18" i="13"/>
  <c r="BE17" i="13"/>
  <c r="BF17" i="13"/>
  <c r="AE20" i="8" l="1"/>
  <c r="BD18" i="8"/>
  <c r="AC20" i="8"/>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G20" i="7"/>
  <c r="Z20" i="17"/>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<sst xmlns="http://schemas.openxmlformats.org/spreadsheetml/2006/main" count="2513" uniqueCount="1026">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</sst>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68hJhiI0uLqA6pEnM5eEIW5v9f199lbOjWy0PTYqUGn/ZL6mvoPejPNH8u/Vdm7xAEToVsnUz93OV3m1XLrAw==" saltValue="Y90Drd9o75IpLVtJ9nOel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50.979040852575487</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36</v>
      </c>
      <c r="D10" s="224">
        <f>IF(ISNUMBER(Datos!I10),Datos!I10," - ")</f>
        <v>36</v>
      </c>
      <c r="E10" s="225">
        <f>IF(ISNUMBER(Datos!J10),Datos!J10," - ")</f>
        <v>0</v>
      </c>
      <c r="F10" s="225">
        <f>IF(ISNUMBER(Datos!K10),Datos!K10," - ")</f>
        <v>5</v>
      </c>
      <c r="G10" s="1029" t="str">
        <f>IF(Datos!E10&lt;&gt;"",Datos!E10,Datos!D10)</f>
        <v>37</v>
      </c>
      <c r="H10" s="226">
        <f>IF(ISNUMBER(Datos!L10),Datos!L10," - ")</f>
        <v>31</v>
      </c>
      <c r="I10" s="1039" t="str">
        <f>IF(ISNUMBER(Datos!AS10/Datos!BM10),Datos!AS10/Datos!BM10," - ")</f>
        <v xml:space="preserve"> - </v>
      </c>
      <c r="J10" s="1040">
        <f>IF(ISNUMBER(Datos!BY10/Datos!CN10),Datos!BY10/Datos!CN10," - ")</f>
        <v>0</v>
      </c>
      <c r="K10" s="229">
        <f t="shared" ref="K10:K12" si="1">IF(ISNUMBER((E10-F10)/C10),(E10-F10)/C10," - ")</f>
        <v>-0.1388888888888889</v>
      </c>
      <c r="L10" s="1020">
        <f>IF(ISNUMBER(NºAsuntos!I10/NºAsuntos!G10),(NºAsuntos!I10/NºAsuntos!G10)*11," - ")</f>
        <v>68.2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36</v>
      </c>
      <c r="D13" s="1044">
        <f>SUBTOTAL(9,D9:D12)</f>
        <v>36</v>
      </c>
      <c r="E13" s="1045">
        <f>SUBTOTAL(9,E9:E12)</f>
        <v>0</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3216</v>
      </c>
      <c r="D15" s="224">
        <f>IF(ISNUMBER(IF(D_I="SI",Datos!I15,Datos!I15+Datos!AC15)),IF(D_I="SI",Datos!I15,Datos!I15+Datos!AC15)," - ")</f>
        <v>3216</v>
      </c>
      <c r="E15" s="225">
        <f>IF(ISNUMBER(IF(D_I="SI",Datos!J15,Datos!J15+Datos!AD15)),IF(D_I="SI",Datos!J15,Datos!J15+Datos!AD15)," - ")</f>
        <v>2063</v>
      </c>
      <c r="F15" s="225">
        <f>IF(ISNUMBER(IF(D_I="SI",Datos!K15,Datos!K15+Datos!AE15)),IF(D_I="SI",Datos!K15,Datos!K15+Datos!AE15)," - ")</f>
        <v>2172</v>
      </c>
      <c r="G15" s="1029" t="str">
        <f>IF(Datos!E15&lt;&gt;"",Datos!E15,Datos!D15)</f>
        <v>03</v>
      </c>
      <c r="H15" s="226">
        <f>IF(ISNUMBER(IF(D_I="SI",Datos!L15,Datos!L15+Datos!AF15)),IF(D_I="SI",Datos!L15,Datos!L15+Datos!AF15)," - ")</f>
        <v>3107</v>
      </c>
      <c r="I15" s="1039" t="str">
        <f>IF(ISNUMBER(Datos!AS15/Datos!BM15),Datos!AS15/Datos!BM15," - ")</f>
        <v xml:space="preserve"> - </v>
      </c>
      <c r="J15" s="1040">
        <f>IF(ISNUMBER(Datos!BY15/Datos!CN15),Datos!BY15/Datos!CN15," - ")</f>
        <v>0</v>
      </c>
      <c r="K15" s="229">
        <f t="shared" ref="K15:K18" si="3">IF(ISNUMBER((E15-F15)/C15),(E15-F15)/C15," - ")</f>
        <v>-3.3893034825870645E-2</v>
      </c>
      <c r="L15" s="1020">
        <f>IF(ISNUMBER(NºAsuntos!I15/NºAsuntos!G15),(NºAsuntos!I15/NºAsuntos!G15)*11," - ")</f>
        <v>15.735267034990791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1</v>
      </c>
      <c r="D17" s="224">
        <f>IF(ISNUMBER(IF(D_I="SI",Datos!I17,Datos!I17+Datos!AC17)),IF(D_I="SI",Datos!I17,Datos!I17+Datos!AC17)," - ")</f>
        <v>1</v>
      </c>
      <c r="E17" s="225">
        <f>IF(ISNUMBER(IF(D_I="SI",Datos!J17,Datos!J17+Datos!AD17)),IF(D_I="SI",Datos!J17,Datos!J17+Datos!AD17)," - ")</f>
        <v>0</v>
      </c>
      <c r="F17" s="225">
        <f>IF(ISNUMBER(IF(D_I="SI",Datos!K17,Datos!K17+Datos!AE17)),IF(D_I="SI",Datos!K17,Datos!K17+Datos!AE17)," - ")</f>
        <v>0</v>
      </c>
      <c r="G17" s="1029" t="str">
        <f>IF(Datos!E17&lt;&gt;"",Datos!E17,Datos!D17)</f>
        <v>04</v>
      </c>
      <c r="H17" s="226">
        <f>IF(ISNUMBER(IF(D_I="SI",Datos!L17,Datos!L17+Datos!AF17)),IF(D_I="SI",Datos!L17,Datos!L17+Datos!AF17)," - ")</f>
        <v>1</v>
      </c>
      <c r="I17" s="1039" t="str">
        <f>IF(ISNUMBER(Datos!AS17/Datos!BM17),Datos!AS17/Datos!BM17," - ")</f>
        <v xml:space="preserve"> - </v>
      </c>
      <c r="J17" s="1040">
        <f>IF(ISNUMBER(Datos!BY17/Datos!CN17),Datos!BY17/Datos!CN17," - ")</f>
        <v>0</v>
      </c>
      <c r="K17" s="229">
        <f t="shared" si="3"/>
        <v>0</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62</v>
      </c>
      <c r="D18" s="224">
        <f>IF(ISNUMBER(IF(D_I="SI",Datos!I18,Datos!I18+Datos!AC18)),IF(D_I="SI",Datos!I18,Datos!I18+Datos!AC18)," - ")</f>
        <v>62</v>
      </c>
      <c r="E18" s="225">
        <f>IF(ISNUMBER(IF(D_I="SI",Datos!J18,Datos!J18+Datos!AD18)),IF(D_I="SI",Datos!J18,Datos!J18+Datos!AD18)," - ")</f>
        <v>0</v>
      </c>
      <c r="F18" s="225">
        <f>IF(ISNUMBER(IF(D_I="SI",Datos!K18,Datos!K18+Datos!AE18)),IF(D_I="SI",Datos!K18,Datos!K18+Datos!AE18)," - ")</f>
        <v>6</v>
      </c>
      <c r="G18" s="1029" t="str">
        <f>IF(Datos!E18&lt;&gt;"",Datos!E18,Datos!D18)</f>
        <v>37</v>
      </c>
      <c r="H18" s="226">
        <f>IF(ISNUMBER(IF(D_I="SI",Datos!L18,Datos!L18+Datos!AF18)),IF(D_I="SI",Datos!L18,Datos!L18+Datos!AF18)," - ")</f>
        <v>56</v>
      </c>
      <c r="I18" s="1039" t="str">
        <f>IF(ISNUMBER(Datos!AS18/Datos!BM18),Datos!AS18/Datos!BM18," - ")</f>
        <v xml:space="preserve"> - </v>
      </c>
      <c r="J18" s="1040" t="str">
        <f>IF(ISNUMBER((Datos!BY18+Datos!BZ18)/Datos!CN18),(Datos!BY18+Datos!BZ18)/Datos!CN18," - ")</f>
        <v xml:space="preserve"> - </v>
      </c>
      <c r="K18" s="229">
        <f t="shared" si="3"/>
        <v>-9.6774193548387094E-2</v>
      </c>
      <c r="L18" s="1020">
        <f>IF(ISNUMBER(NºAsuntos!I18/NºAsuntos!G18),(NºAsuntos!I18/NºAsuntos!G18)*11," - ")</f>
        <v>102.66666666666667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3279</v>
      </c>
      <c r="D19" s="1044">
        <f>SUBTOTAL(9,D15:D18)</f>
        <v>3279</v>
      </c>
      <c r="E19" s="1045">
        <f>SUBTOTAL(9,E15:E18)</f>
        <v>2063</v>
      </c>
      <c r="F19" s="1045">
        <f>SUBTOTAL(9,F15:F18)</f>
        <v>2178</v>
      </c>
      <c r="G19" s="1047" t="str">
        <f ca="1">INDIRECT(CONCATENATE("G",ROW()-1))</f>
        <v>37</v>
      </c>
      <c r="H19" s="1048">
        <f ca="1">SUMIF(G$14:G18,G19,H$14:H18)</f>
        <v>56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3315</v>
      </c>
      <c r="D20" s="1066">
        <f>SUBTOTAL(9,D9:D19)</f>
        <v>3315</v>
      </c>
      <c r="E20" s="1067">
        <f>SUBTOTAL(9,E9:E19)</f>
        <v>2063</v>
      </c>
      <c r="F20" s="1067">
        <f>SUBTOTAL(9,F9:F19)</f>
        <v>2183</v>
      </c>
      <c r="G20" s="1068"/>
      <c r="H20" s="1069">
        <f ca="1">SUMIF(B9:B19,"TOTAL",H9:H19)</f>
        <v>56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5M531X8c4xR/YGNmP6aHoTbicdPoUpqjS3Pv+fKS6XnPhs1HWYV8MVqIJykwwpn1AD5Dr+ssxf4BRRCRmXVEw==" saltValue="6Y2FkYUsZUwWuZeGWiCsY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4n3/Dm9kla2dVYGSBbQFTb+XnluGQ2/UPYXMYEuNO1Emvu/gcLnf3MysMaTeKm0VXBvqrTI032f2pDIRX5sfbg==" saltValue="GR0kURQzpcL9Vs0ZvQSs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12400</v>
      </c>
      <c r="J9" s="180">
        <v>2867</v>
      </c>
      <c r="K9" s="180">
        <v>2639</v>
      </c>
      <c r="L9" s="180">
        <v>12628</v>
      </c>
      <c r="M9" s="180">
        <v>854</v>
      </c>
      <c r="N9" s="180">
        <v>1360</v>
      </c>
      <c r="O9" s="180">
        <v>642</v>
      </c>
      <c r="P9" s="180">
        <v>428</v>
      </c>
      <c r="Q9" s="180">
        <v>112</v>
      </c>
      <c r="R9" s="180">
        <v>11989</v>
      </c>
      <c r="S9" s="180">
        <v>12533</v>
      </c>
      <c r="T9" s="180">
        <v>6007</v>
      </c>
      <c r="U9" s="180">
        <v>4823</v>
      </c>
      <c r="V9" s="180">
        <v>13717</v>
      </c>
      <c r="W9" s="180">
        <v>1421</v>
      </c>
      <c r="X9" s="187">
        <v>2423</v>
      </c>
      <c r="Y9" s="190">
        <v>423</v>
      </c>
      <c r="Z9" s="180">
        <v>171</v>
      </c>
      <c r="AA9" s="180">
        <v>176</v>
      </c>
      <c r="AB9" s="180">
        <v>418</v>
      </c>
      <c r="AC9" s="180">
        <v>0</v>
      </c>
      <c r="AD9" s="180">
        <v>0</v>
      </c>
      <c r="AE9" s="180">
        <v>0</v>
      </c>
      <c r="AF9" s="187">
        <v>0</v>
      </c>
      <c r="AG9" s="190">
        <v>290</v>
      </c>
      <c r="AH9" s="180">
        <v>135</v>
      </c>
      <c r="AI9" s="180">
        <v>128</v>
      </c>
      <c r="AJ9" s="191">
        <v>297</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12823</v>
      </c>
      <c r="AZ9" s="123">
        <f>IF(ISNUMBER(IF(J_V="SI",T9,T9+AH9)),IF(J_V="SI",T9,T9+AH9)," - ")</f>
        <v>6142</v>
      </c>
      <c r="BA9" s="124">
        <f>IF(ISNUMBER(IF(J_V="SI",U9,U9+AI9)),IF(J_V="SI",U9,U9+AI9)," - ")</f>
        <v>4951</v>
      </c>
      <c r="BB9" s="124">
        <f>IF(ISNUMBER(IF(J_V="SI",V9,V9+AJ9)),IF(J_V="SI",V9,V9+AJ9)," - ")</f>
        <v>14014</v>
      </c>
      <c r="BC9" s="125">
        <f>IF(ISNUMBER(X9),X9," - ")</f>
        <v>2423</v>
      </c>
      <c r="BD9" s="126">
        <f>IF(ISNUMBER(BA9/AZ9),BA9/AZ9," - ")</f>
        <v>0.80608922175187236</v>
      </c>
      <c r="BE9" s="127">
        <f>IF(ISNUMBER(BB9/BA9),BB9/BA9, " - ")</f>
        <v>2.8305392849929305</v>
      </c>
      <c r="BF9" s="127">
        <f>IF(ISNUMBER(BC9/BA9),BC9/BA9, " - ")</f>
        <v>0.48939608159967685</v>
      </c>
      <c r="BG9" s="195">
        <f>IF(ISNUMBER((AY9+AZ9)/BA9),(AY9+AZ9)/BA9," - ")</f>
        <v>3.8305392849929305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36</v>
      </c>
      <c r="J10" s="180">
        <v>0</v>
      </c>
      <c r="K10" s="180">
        <v>5</v>
      </c>
      <c r="L10" s="180">
        <v>31</v>
      </c>
      <c r="M10" s="180">
        <v>5</v>
      </c>
      <c r="N10" s="180">
        <v>0</v>
      </c>
      <c r="O10" s="180">
        <v>0</v>
      </c>
      <c r="P10" s="180">
        <v>0</v>
      </c>
      <c r="Q10" s="180">
        <v>0</v>
      </c>
      <c r="R10" s="180">
        <v>95</v>
      </c>
      <c r="S10" s="180">
        <v>118</v>
      </c>
      <c r="T10" s="180">
        <v>11</v>
      </c>
      <c r="U10" s="180">
        <v>38</v>
      </c>
      <c r="V10" s="180">
        <v>91</v>
      </c>
      <c r="W10" s="180">
        <v>24</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118</v>
      </c>
      <c r="AZ10" s="129">
        <f t="shared" si="0"/>
        <v>11</v>
      </c>
      <c r="BA10" s="129">
        <f t="shared" si="0"/>
        <v>38</v>
      </c>
      <c r="BB10" s="129">
        <f t="shared" si="0"/>
        <v>91</v>
      </c>
      <c r="BC10" s="125">
        <f t="shared" si="0"/>
        <v>24</v>
      </c>
      <c r="BD10" s="126">
        <f>IF(ISNUMBER(BA10/AZ10),BA10/AZ10," - ")</f>
        <v>3.4545454545454546</v>
      </c>
      <c r="BE10" s="127">
        <f>IF(ISNUMBER(BB10/BA10),BB10/BA10, " - ")</f>
        <v>2.3947368421052633</v>
      </c>
      <c r="BF10" s="127">
        <f>IF(ISNUMBER(BC10/BA10),BC10/BA10, " - ")</f>
        <v>0.63157894736842102</v>
      </c>
      <c r="BG10" s="195">
        <f>IF(ISNUMBER((AY10+AZ10)/BA10),(AY10+AZ10)/BA10," - ")</f>
        <v>3.3947368421052633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12436</v>
      </c>
      <c r="J13" s="183">
        <f t="shared" si="6"/>
        <v>2867</v>
      </c>
      <c r="K13" s="183">
        <f t="shared" si="6"/>
        <v>2644</v>
      </c>
      <c r="L13" s="183">
        <f t="shared" si="6"/>
        <v>12659</v>
      </c>
      <c r="M13" s="183">
        <f t="shared" si="6"/>
        <v>859</v>
      </c>
      <c r="N13" s="183">
        <f t="shared" si="6"/>
        <v>1360</v>
      </c>
      <c r="O13" s="183">
        <f t="shared" si="6"/>
        <v>642</v>
      </c>
      <c r="P13" s="183">
        <f t="shared" si="6"/>
        <v>428</v>
      </c>
      <c r="Q13" s="183">
        <f t="shared" si="6"/>
        <v>112</v>
      </c>
      <c r="R13" s="183">
        <f t="shared" si="6"/>
        <v>12084</v>
      </c>
      <c r="S13" s="183">
        <f t="shared" si="6"/>
        <v>12651</v>
      </c>
      <c r="T13" s="183">
        <f t="shared" si="6"/>
        <v>6018</v>
      </c>
      <c r="U13" s="183">
        <f t="shared" si="6"/>
        <v>4861</v>
      </c>
      <c r="V13" s="183">
        <f t="shared" si="6"/>
        <v>13808</v>
      </c>
      <c r="W13" s="183">
        <f t="shared" si="6"/>
        <v>1445</v>
      </c>
      <c r="X13" s="183">
        <f t="shared" si="6"/>
        <v>2430</v>
      </c>
      <c r="Y13" s="183">
        <f t="shared" si="6"/>
        <v>423</v>
      </c>
      <c r="Z13" s="183">
        <f t="shared" si="6"/>
        <v>171</v>
      </c>
      <c r="AA13" s="183">
        <f t="shared" si="6"/>
        <v>176</v>
      </c>
      <c r="AB13" s="183">
        <f t="shared" si="6"/>
        <v>418</v>
      </c>
      <c r="AC13" s="183">
        <f t="shared" si="6"/>
        <v>0</v>
      </c>
      <c r="AD13" s="183">
        <f t="shared" si="6"/>
        <v>0</v>
      </c>
      <c r="AE13" s="183">
        <f t="shared" si="6"/>
        <v>0</v>
      </c>
      <c r="AF13" s="183">
        <f>SUBTOTAL(9,AF9:AF12)</f>
        <v>0</v>
      </c>
      <c r="AG13" s="183">
        <f t="shared" ref="AG13:AT13" si="7">SUBTOTAL(9,AG8:AG12)</f>
        <v>290</v>
      </c>
      <c r="AH13" s="183">
        <f t="shared" si="7"/>
        <v>135</v>
      </c>
      <c r="AI13" s="183">
        <f t="shared" si="7"/>
        <v>128</v>
      </c>
      <c r="AJ13" s="183">
        <f t="shared" si="7"/>
        <v>297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12941</v>
      </c>
      <c r="AZ13" s="183">
        <f>SUBTOTAL(9,AZ8:AZ12)</f>
        <v>6153</v>
      </c>
      <c r="BA13" s="183">
        <f>SUBTOTAL(9,BA8:BA12)</f>
        <v>4989</v>
      </c>
      <c r="BB13" s="183">
        <f>SUBTOTAL(9,BB8:BB12)</f>
        <v>14105</v>
      </c>
      <c r="BC13" s="183">
        <f>SUBTOTAL(9,BC8:BC12)</f>
        <v>2447</v>
      </c>
      <c r="BD13" s="204">
        <f>IF(ISNUMBER(BA13/AZ13),BA13/AZ13," - ")</f>
        <v>0.81082398829839097</v>
      </c>
      <c r="BE13" s="205">
        <f>IF(ISNUMBER(BB13/BA13),BB13/BA13, " - ")</f>
        <v>2.8272198837442373</v>
      </c>
      <c r="BF13" s="205">
        <f>IF(ISNUMBER(BC13/BA13),BC13/BA13, " - ")</f>
        <v>0.49047905391862096</v>
      </c>
      <c r="BG13" s="206">
        <f>IF(ISNUMBER((AY13+AZ13)/BA13),(AY13+AZ13)/BA13," - ")</f>
        <v>3.8272198837442373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3216</v>
      </c>
      <c r="J15" s="182">
        <v>2063</v>
      </c>
      <c r="K15" s="182">
        <v>2172</v>
      </c>
      <c r="L15" s="182">
        <v>3107</v>
      </c>
      <c r="M15" s="182">
        <v>280</v>
      </c>
      <c r="N15" s="182">
        <v>1433</v>
      </c>
      <c r="O15" s="180">
        <v>33</v>
      </c>
      <c r="P15" s="182">
        <v>44</v>
      </c>
      <c r="Q15" s="182">
        <v>75</v>
      </c>
      <c r="R15" s="182">
        <v>469</v>
      </c>
      <c r="S15" s="182">
        <v>3187</v>
      </c>
      <c r="T15" s="182">
        <v>2461</v>
      </c>
      <c r="U15" s="182">
        <v>2344</v>
      </c>
      <c r="V15" s="182">
        <v>3306</v>
      </c>
      <c r="W15" s="182">
        <v>417</v>
      </c>
      <c r="X15" s="188">
        <v>1367</v>
      </c>
      <c r="Y15" s="201">
        <v>0</v>
      </c>
      <c r="Z15" s="182">
        <v>0</v>
      </c>
      <c r="AA15" s="182">
        <v>0</v>
      </c>
      <c r="AB15" s="182">
        <v>0</v>
      </c>
      <c r="AC15" s="182">
        <v>0</v>
      </c>
      <c r="AD15" s="182">
        <v>0</v>
      </c>
      <c r="AE15" s="182">
        <v>0</v>
      </c>
      <c r="AF15" s="188">
        <v>0</v>
      </c>
      <c r="AG15" s="201">
        <v>0</v>
      </c>
      <c r="AH15" s="182">
        <v>0</v>
      </c>
      <c r="AI15" s="182">
        <v>0</v>
      </c>
      <c r="AJ15" s="202">
        <v>0</v>
      </c>
      <c r="AK15" s="181">
        <v>0</v>
      </c>
      <c r="AL15" s="182">
        <v>1</v>
      </c>
      <c r="AM15" s="182">
        <v>1</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3187</v>
      </c>
      <c r="AZ15" s="129">
        <f t="shared" si="9"/>
        <v>2461</v>
      </c>
      <c r="BA15" s="129">
        <f t="shared" si="9"/>
        <v>2344</v>
      </c>
      <c r="BB15" s="129">
        <f t="shared" si="9"/>
        <v>3306</v>
      </c>
      <c r="BC15" s="125">
        <f>IF(ISNUMBER(W15),W15," - ")</f>
        <v>417</v>
      </c>
      <c r="BD15" s="126">
        <f>IF(ISNUMBER(BA15/AZ15),BA15/AZ15," - ")</f>
        <v>0.95245835026412029</v>
      </c>
      <c r="BE15" s="127">
        <f>IF(ISNUMBER(BB15/BA15),BB15/BA15, " - ")</f>
        <v>1.4104095563139931</v>
      </c>
      <c r="BF15" s="127">
        <f>IF(ISNUMBER(BC15/BA15),BC15/BA15, " - ")</f>
        <v>0.17790102389078499</v>
      </c>
      <c r="BG15" s="195">
        <f t="shared" ref="BG15:BG17" si="10">IF(ISNUMBER((AY15+AZ15)/BA15),(AY15+AZ15)/BA15," - ")</f>
        <v>2.4095563139931739</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v>
      </c>
      <c r="J17" s="182">
        <v>0</v>
      </c>
      <c r="K17" s="182">
        <v>0</v>
      </c>
      <c r="L17" s="182">
        <v>1</v>
      </c>
      <c r="M17" s="182">
        <v>0</v>
      </c>
      <c r="N17" s="182">
        <v>0</v>
      </c>
      <c r="O17" s="180">
        <v>0</v>
      </c>
      <c r="P17" s="182">
        <v>0</v>
      </c>
      <c r="Q17" s="182">
        <v>0</v>
      </c>
      <c r="R17" s="182">
        <v>0</v>
      </c>
      <c r="S17" s="182">
        <v>3</v>
      </c>
      <c r="T17" s="182">
        <v>0</v>
      </c>
      <c r="U17" s="182">
        <v>2</v>
      </c>
      <c r="V17" s="182">
        <v>1</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3</v>
      </c>
      <c r="AZ17" s="127">
        <f t="shared" si="9"/>
        <v>0</v>
      </c>
      <c r="BA17" s="127">
        <f t="shared" si="9"/>
        <v>2</v>
      </c>
      <c r="BB17" s="127">
        <f t="shared" si="9"/>
        <v>1</v>
      </c>
      <c r="BC17" s="125">
        <f>IF(ISNUMBER(W17),W17," - ")</f>
        <v>0</v>
      </c>
      <c r="BD17" s="126" t="str">
        <f t="shared" ref="BD17" si="16">IF(ISNUMBER(BA17/AZ17),BA17/AZ17," - ")</f>
        <v xml:space="preserve"> - </v>
      </c>
      <c r="BE17" s="127">
        <f t="shared" ref="BE17" si="17">IF(ISNUMBER(BB17/BA17),BB17/BA17, " - ")</f>
        <v>0.5</v>
      </c>
      <c r="BF17" s="127">
        <f t="shared" ref="BF17" si="18">IF(ISNUMBER(BC17/BA17),BC17/BA17, " - ")</f>
        <v>0</v>
      </c>
      <c r="BG17" s="195">
        <f t="shared" si="10"/>
        <v>1.5</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62</v>
      </c>
      <c r="J18" s="182">
        <v>0</v>
      </c>
      <c r="K18" s="182">
        <v>6</v>
      </c>
      <c r="L18" s="182">
        <v>56</v>
      </c>
      <c r="M18" s="182">
        <v>0</v>
      </c>
      <c r="N18" s="182">
        <v>2</v>
      </c>
      <c r="O18" s="182">
        <v>0</v>
      </c>
      <c r="P18" s="182">
        <v>0</v>
      </c>
      <c r="Q18" s="182">
        <v>0</v>
      </c>
      <c r="R18" s="182">
        <v>0</v>
      </c>
      <c r="S18" s="182">
        <v>126</v>
      </c>
      <c r="T18" s="182">
        <v>10</v>
      </c>
      <c r="U18" s="182">
        <v>25</v>
      </c>
      <c r="V18" s="182">
        <v>111</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126</v>
      </c>
      <c r="AZ18" s="129">
        <f t="shared" si="19"/>
        <v>10</v>
      </c>
      <c r="BA18" s="129">
        <f t="shared" si="19"/>
        <v>25</v>
      </c>
      <c r="BB18" s="129">
        <f t="shared" si="19"/>
        <v>111</v>
      </c>
      <c r="BC18" s="125">
        <f>IF(ISNUMBER(W18),W18," - ")</f>
        <v>0</v>
      </c>
      <c r="BD18" s="126">
        <f>IF(ISNUMBER(BA18/AZ18),BA18/AZ18," - ")</f>
        <v>2.5</v>
      </c>
      <c r="BE18" s="127">
        <f>IF(ISNUMBER(BB18/BA18),BB18/BA18, " - ")</f>
        <v>4.4400000000000004</v>
      </c>
      <c r="BF18" s="127">
        <f>IF(ISNUMBER(BC18/BA18),BC18/BA18, " - ")</f>
        <v>0</v>
      </c>
      <c r="BG18" s="195">
        <f>IF(ISNUMBER((AY18+AZ18)/BA18),(AY18+AZ18)/BA18," - ")</f>
        <v>5.44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3279</v>
      </c>
      <c r="J19" s="183">
        <f t="shared" si="20"/>
        <v>2063</v>
      </c>
      <c r="K19" s="183">
        <f t="shared" si="20"/>
        <v>2178</v>
      </c>
      <c r="L19" s="183">
        <f t="shared" si="20"/>
        <v>3164</v>
      </c>
      <c r="M19" s="183">
        <f t="shared" si="20"/>
        <v>280</v>
      </c>
      <c r="N19" s="183">
        <f t="shared" si="20"/>
        <v>1435</v>
      </c>
      <c r="O19" s="183">
        <f t="shared" si="20"/>
        <v>33</v>
      </c>
      <c r="P19" s="183">
        <f t="shared" si="20"/>
        <v>44</v>
      </c>
      <c r="Q19" s="183">
        <f t="shared" si="20"/>
        <v>75</v>
      </c>
      <c r="R19" s="183">
        <f t="shared" si="20"/>
        <v>469</v>
      </c>
      <c r="S19" s="183">
        <f t="shared" si="20"/>
        <v>3316</v>
      </c>
      <c r="T19" s="183">
        <f t="shared" si="20"/>
        <v>2471</v>
      </c>
      <c r="U19" s="183">
        <f t="shared" si="20"/>
        <v>2371</v>
      </c>
      <c r="V19" s="183">
        <f t="shared" si="20"/>
        <v>3418</v>
      </c>
      <c r="W19" s="183">
        <f t="shared" si="20"/>
        <v>417</v>
      </c>
      <c r="X19" s="183">
        <f t="shared" si="20"/>
        <v>1369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3316</v>
      </c>
      <c r="AZ19" s="183">
        <f>SUBTOTAL(9,AZ14:AZ18)</f>
        <v>2471</v>
      </c>
      <c r="BA19" s="183">
        <f>SUBTOTAL(9,BA14:BA18)</f>
        <v>2371</v>
      </c>
      <c r="BB19" s="183">
        <f>SUBTOTAL(9,BB14:BB18)</f>
        <v>3418</v>
      </c>
      <c r="BC19" s="183">
        <f>SUBTOTAL(9,BC14:BC18)</f>
        <v>417</v>
      </c>
      <c r="BD19" s="204">
        <f>IF(ISNUMBER(BA19/AZ19),BA19/AZ19," - ")</f>
        <v>0.95953055443140434</v>
      </c>
      <c r="BE19" s="205">
        <f>IF(ISNUMBER(BB19/BA19),BB19/BA19, " - ")</f>
        <v>1.4415858287642345</v>
      </c>
      <c r="BF19" s="205">
        <f>IF(ISNUMBER(BC19/BA19),BC19/BA19, " - ")</f>
        <v>0.17587515816111346</v>
      </c>
      <c r="BG19" s="206">
        <f>IF(ISNUMBER((AY19+AZ19)/BA19),(AY19+AZ19)/BA19," - ")</f>
        <v>2.4407423028258117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15715</v>
      </c>
      <c r="J20" s="134">
        <f t="shared" si="23"/>
        <v>4930</v>
      </c>
      <c r="K20" s="134">
        <f t="shared" si="23"/>
        <v>4822</v>
      </c>
      <c r="L20" s="134">
        <f t="shared" si="23"/>
        <v>15823</v>
      </c>
      <c r="M20" s="134">
        <f t="shared" si="23"/>
        <v>1139</v>
      </c>
      <c r="N20" s="134">
        <f t="shared" si="23"/>
        <v>2795</v>
      </c>
      <c r="O20" s="134">
        <f t="shared" si="23"/>
        <v>675</v>
      </c>
      <c r="P20" s="134">
        <f t="shared" si="23"/>
        <v>472</v>
      </c>
      <c r="Q20" s="134">
        <f t="shared" si="23"/>
        <v>187</v>
      </c>
      <c r="R20" s="134">
        <f t="shared" si="23"/>
        <v>12553</v>
      </c>
      <c r="S20" s="134">
        <f t="shared" si="23"/>
        <v>15967</v>
      </c>
      <c r="T20" s="134">
        <f t="shared" si="23"/>
        <v>8489</v>
      </c>
      <c r="U20" s="134">
        <f t="shared" si="23"/>
        <v>7232</v>
      </c>
      <c r="V20" s="134">
        <f t="shared" si="23"/>
        <v>17226</v>
      </c>
      <c r="W20" s="134">
        <f t="shared" si="23"/>
        <v>1862</v>
      </c>
      <c r="X20" s="134">
        <f t="shared" si="23"/>
        <v>3799</v>
      </c>
      <c r="Y20" s="134">
        <f t="shared" si="23"/>
        <v>423</v>
      </c>
      <c r="Z20" s="134">
        <f t="shared" si="23"/>
        <v>171</v>
      </c>
      <c r="AA20" s="134">
        <f t="shared" si="23"/>
        <v>176</v>
      </c>
      <c r="AB20" s="134">
        <f t="shared" si="23"/>
        <v>418</v>
      </c>
      <c r="AC20" s="134">
        <f t="shared" si="23"/>
        <v>0</v>
      </c>
      <c r="AD20" s="134">
        <f t="shared" si="23"/>
        <v>0</v>
      </c>
      <c r="AE20" s="134">
        <f t="shared" si="23"/>
        <v>0</v>
      </c>
      <c r="AF20" s="134">
        <f t="shared" si="23"/>
        <v>0</v>
      </c>
      <c r="AG20" s="134">
        <f t="shared" si="23"/>
        <v>290</v>
      </c>
      <c r="AH20" s="134">
        <f t="shared" si="23"/>
        <v>135</v>
      </c>
      <c r="AI20" s="134">
        <f t="shared" si="23"/>
        <v>128</v>
      </c>
      <c r="AJ20" s="134">
        <f t="shared" si="23"/>
        <v>297</v>
      </c>
      <c r="AK20" s="134">
        <f t="shared" si="23"/>
        <v>0</v>
      </c>
      <c r="AL20" s="134">
        <f t="shared" si="23"/>
        <v>1</v>
      </c>
      <c r="AM20" s="134">
        <f t="shared" si="23"/>
        <v>1</v>
      </c>
      <c r="AN20" s="209">
        <f t="shared" si="23"/>
        <v>0</v>
      </c>
      <c r="AO20" s="210">
        <v>10</v>
      </c>
      <c r="AP20" s="210">
        <v>9</v>
      </c>
      <c r="AQ20" s="210">
        <v>9</v>
      </c>
      <c r="AR20" s="210">
        <v>9</v>
      </c>
      <c r="AS20" s="152">
        <f t="shared" si="23"/>
        <v>0</v>
      </c>
      <c r="AT20" s="152">
        <f t="shared" si="23"/>
        <v>0</v>
      </c>
      <c r="AU20" s="210"/>
      <c r="AV20" s="211"/>
      <c r="AW20" s="210"/>
      <c r="AX20" s="211"/>
      <c r="AY20" s="133">
        <f>SUBTOTAL(9,AY9:AY19)</f>
        <v>16257</v>
      </c>
      <c r="AZ20" s="134">
        <f>SUBTOTAL(9,AZ9:AZ19)</f>
        <v>8624</v>
      </c>
      <c r="BA20" s="134">
        <f>SUBTOTAL(9,BA9:BA19)</f>
        <v>7360</v>
      </c>
      <c r="BB20" s="134">
        <f>SUBTOTAL(9,BB9:BB19)</f>
        <v>17523</v>
      </c>
      <c r="BC20" s="135">
        <f>SUBTOTAL(9,BC9:BC19)</f>
        <v>2864</v>
      </c>
      <c r="BD20" s="212">
        <f>IF(ISNUMBER(BA20/AZ20),BA20/AZ20," - ")</f>
        <v>0.85343228200371057</v>
      </c>
      <c r="BE20" s="209">
        <f>IF(ISNUMBER(BB20/BA20),BB20/BA20, " - ")</f>
        <v>2.3808423913043479</v>
      </c>
      <c r="BF20" s="209">
        <f>IF(ISNUMBER(BC20/BA20),BC20/BA20, " - ")</f>
        <v>0.38913043478260867</v>
      </c>
      <c r="BG20" s="135">
        <f>IF(ISNUMBER((AY20+AZ20)/BA20),(AY20+AZ20)/BA20," - ")</f>
        <v>3.3805706521739132</v>
      </c>
      <c r="BH20" s="210">
        <f>SUBTOTAL(9,BH9:BH19)</f>
        <v>11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j2dVQRuGuXLZYsO9NKf2MwSHXyw4+Cs8cknLlIAx8UPaoZcEMTNxyuYHCLcAguhxluliUdIz6egT6MBmO5Uxw==" saltValue="SQP3K45aNgDxposuF297i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JhDi2w5DavpMNbAjyJ1MZwOfh5qER8yQQHEhX72NtTEQYjBNfROwQHbxy8IXwt10ncg1XpP15OcffhUwIcT5w==" saltValue="Sg2vGmOAtW0gylqyeZfVM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TELDE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171</v>
      </c>
      <c r="O9" s="1247"/>
      <c r="P9" s="1247"/>
      <c r="Q9" s="1215">
        <f>IF(ISNUMBER(Datos!P9),Datos!P9,0)</f>
        <v>428</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112</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418</v>
      </c>
      <c r="AI9" s="1247" t="str">
        <f>IF(ISNUMBER(Datos!CD9),Datos!CD9,"-")</f>
        <v>-</v>
      </c>
      <c r="AJ9" s="1247" t="str">
        <f>IF(ISNUMBER(Datos!EN9),Datos!EN9," - ")</f>
        <v xml:space="preserve"> - </v>
      </c>
      <c r="AK9" s="1247"/>
      <c r="AL9" s="1258"/>
      <c r="AM9" s="1248">
        <f>IF(ISNUMBER(Datos!R9),Datos!R9," - ")</f>
        <v>11989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854</v>
      </c>
      <c r="BD9" s="1218">
        <f>IF(ISNUMBER(Datos!N9),Datos!N9," - ")</f>
        <v>1360</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0.92659644502962479</v>
      </c>
      <c r="BH9" s="1226">
        <f>IF(ISNUMBER(((IF(J_V="SI",Datos!L9/Datos!K9,(Datos!L9+Datos!AB9)/(Datos!K9+Datos!AA9)))*11)/factor_trimestre),((IF(J_V="SI",Datos!L9/Datos!K9,(Datos!L9+Datos!AB9)/(Datos!K9+Datos!AA9)))*11)/factor_trimestre," - ")</f>
        <v>13.903374777975133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2.7071018589908336E-2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36</v>
      </c>
      <c r="G10" s="1246">
        <f>IF(ISNUMBER(Datos!I10),Datos!I10," - ")</f>
        <v>36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31</v>
      </c>
      <c r="AG10" s="1247"/>
      <c r="AH10" s="1247"/>
      <c r="AI10" s="1247"/>
      <c r="AJ10" s="1247"/>
      <c r="AK10" s="1247"/>
      <c r="AL10" s="1258"/>
      <c r="AM10" s="1248">
        <f>IF(ISNUMBER(Datos!R10),Datos!R10," - ")</f>
        <v>95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18.600000000000001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36</v>
      </c>
      <c r="G13" s="1391">
        <f t="shared" si="0"/>
        <v>36</v>
      </c>
      <c r="H13" s="1392">
        <f t="shared" si="0"/>
        <v>0</v>
      </c>
      <c r="I13" s="1391">
        <f t="shared" si="0"/>
        <v>0</v>
      </c>
      <c r="J13" s="1383">
        <f t="shared" si="0"/>
        <v>0</v>
      </c>
      <c r="K13" s="1383">
        <f t="shared" si="0"/>
        <v>0</v>
      </c>
      <c r="L13" s="1392">
        <f t="shared" si="0"/>
        <v>0</v>
      </c>
      <c r="M13" s="1392">
        <f t="shared" si="0"/>
        <v>0</v>
      </c>
      <c r="N13" s="1392">
        <f t="shared" si="0"/>
        <v>171</v>
      </c>
      <c r="O13" s="1393">
        <f t="shared" si="0"/>
        <v>0</v>
      </c>
      <c r="P13" s="1393">
        <f t="shared" si="0"/>
        <v>0</v>
      </c>
      <c r="Q13" s="1392">
        <f t="shared" si="0"/>
        <v>428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112</v>
      </c>
      <c r="AD13" s="1392">
        <f t="shared" si="1"/>
        <v>0</v>
      </c>
      <c r="AE13" s="1392">
        <f t="shared" si="1"/>
        <v>0</v>
      </c>
      <c r="AF13" s="1392">
        <f t="shared" si="1"/>
        <v>31</v>
      </c>
      <c r="AG13" s="1392">
        <f t="shared" si="1"/>
        <v>0</v>
      </c>
      <c r="AH13" s="1392">
        <f t="shared" si="1"/>
        <v>418</v>
      </c>
      <c r="AI13" s="1392">
        <f t="shared" si="1"/>
        <v>0</v>
      </c>
      <c r="AJ13" s="1392">
        <f t="shared" si="1"/>
        <v>0</v>
      </c>
      <c r="AK13" s="1392">
        <f t="shared" si="1"/>
        <v>0</v>
      </c>
      <c r="AL13" s="1392">
        <f t="shared" si="1"/>
        <v>0</v>
      </c>
      <c r="AM13" s="1392">
        <f t="shared" si="1"/>
        <v>12084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859</v>
      </c>
      <c r="BD13" s="1392">
        <f t="shared" si="1"/>
        <v>1360</v>
      </c>
      <c r="BE13" s="1392">
        <f t="shared" si="1"/>
        <v>0</v>
      </c>
      <c r="BF13" s="1392">
        <f t="shared" si="1"/>
        <v>0</v>
      </c>
      <c r="BG13" s="1392">
        <f>IF(ISNUMBER(Datos!K13/Datos!J13),Datos!K13/Datos!J13," - ")</f>
        <v>0.92221834670387159</v>
      </c>
      <c r="BH13" s="1396">
        <f>IF(ISNUMBER(((Datos!L13/Datos!K13)*11)/factor_trimestre),((Datos!L13/Datos!K13)*11)/factor_trimestre," - ")</f>
        <v>14.363464447806356</v>
      </c>
      <c r="BI13" s="1392">
        <f>IF(ISNUMBER('Resol  Asuntos'!D13/NºAsuntos!G13),'Resol  Asuntos'!D13/NºAsuntos!G13," - ")</f>
        <v>0.30460992907801421</v>
      </c>
      <c r="BJ13" s="1392" t="str">
        <f>IF(ISNUMBER(Datos!CI13/Datos!CJ13),Datos!CI13/Datos!CJ13," - ")</f>
        <v xml:space="preserve"> - </v>
      </c>
      <c r="BK13" s="1392">
        <f>SUBTOTAL(9,BK8:BK12)</f>
        <v>0</v>
      </c>
      <c r="BL13" s="1392">
        <f>IF(ISNUMBER((I13-AB13+L13)/(F13)),(I13-AB13+L13)/(F13)," - ")</f>
        <v>-0.1388888888888889</v>
      </c>
      <c r="BM13" s="1397">
        <f>SUBTOTAL(9,BM9:BM12)</f>
        <v>2.7071018589908336E-2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3216</v>
      </c>
      <c r="G15" s="1335">
        <f>IF(ISNUMBER(IF(D_I="SI",Datos!I15,Datos!I15+Datos!AC15)),IF(D_I="SI",Datos!I15,Datos!I15+Datos!AC15)," - ")</f>
        <v>3216</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44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2172</v>
      </c>
      <c r="AC15" s="1215">
        <f>IF(ISNUMBER(Datos!Q15),Datos!Q15," - ")</f>
        <v>75</v>
      </c>
      <c r="AD15" s="1247"/>
      <c r="AE15" s="1262"/>
      <c r="AF15" s="1333">
        <f>IF(ISNUMBER(IF(D_I="SI",Datos!L15,Datos!L15+Datos!AF15)),IF(D_I="SI",Datos!L15,Datos!L15+Datos!AF15)," - ")</f>
        <v>3107</v>
      </c>
      <c r="AG15" s="1247"/>
      <c r="AH15" s="1247"/>
      <c r="AI15" s="1247"/>
      <c r="AJ15" s="1247"/>
      <c r="AK15" s="1247"/>
      <c r="AL15" s="1258"/>
      <c r="AM15" s="1248">
        <f>IF(ISNUMBER(Datos!R15),Datos!R15," - ")</f>
        <v>469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280</v>
      </c>
      <c r="BD15" s="1218">
        <f>IF(ISNUMBER(Datos!N15),Datos!N15," - ")</f>
        <v>1433</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1.0528356761997091</v>
      </c>
      <c r="BH15" s="1226">
        <f>IF(ISNUMBER(((IF(D_I="SI",Datos!L15/Datos!K15,(Datos!L15+Datos!AF15)/(Datos!K15+Datos!AE15)))*11)/factor_trimestre),((IF(D_I="SI",Datos!L15/Datos!K15,(Datos!L15+Datos!AF15)/(Datos!K15+Datos!AE15)))*11)/factor_trimestre," - ")</f>
        <v>4.291436464088398</v>
      </c>
      <c r="BI15" s="1223">
        <f>IF(ISNUMBER('Resol  Asuntos'!D15/NºAsuntos!G15),'Resol  Asuntos'!D15/NºAsuntos!G15," - ")</f>
        <v>0.12891344383057091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1</v>
      </c>
      <c r="G17" s="1335">
        <f>IF(ISNUMBER(IF(D_I="SI",Datos!I17,Datos!I17+Datos!AC17)),IF(D_I="SI",Datos!I17,Datos!I17+Datos!AC17)," - ")</f>
        <v>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0</v>
      </c>
      <c r="AC17" s="1215">
        <f>IF(ISNUMBER(Datos!Q17),Datos!Q17," - ")</f>
        <v>0</v>
      </c>
      <c r="AD17" s="1247"/>
      <c r="AE17" s="1262"/>
      <c r="AF17" s="1333">
        <f>IF(ISNUMBER(IF(D_I="SI",Datos!L17,Datos!L17+Datos!AF17)),IF(D_I="SI",Datos!L17,Datos!L17+Datos!AF17)," - ")</f>
        <v>1</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0</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v>
      </c>
      <c r="AC18" s="1215">
        <f>IF(ISNUMBER(Datos!Q18),Datos!Q18," - ")</f>
        <v>0</v>
      </c>
      <c r="AD18" s="1247"/>
      <c r="AE18" s="1262"/>
      <c r="AF18" s="1245">
        <f>IF(ISNUMBER(Datos!L18),Datos!L18,"-")</f>
        <v>56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28.000000000000004</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3217</v>
      </c>
      <c r="G19" s="1391">
        <f>SUBTOTAL(9,G15:G18)</f>
        <v>3279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2178</v>
      </c>
      <c r="AC19" s="1392">
        <f t="shared" si="4"/>
        <v>75</v>
      </c>
      <c r="AD19" s="1392">
        <f t="shared" si="4"/>
        <v>0</v>
      </c>
      <c r="AE19" s="1392">
        <f t="shared" si="4"/>
        <v>0</v>
      </c>
      <c r="AF19" s="1392">
        <f t="shared" si="4"/>
        <v>3164</v>
      </c>
      <c r="AG19" s="1392">
        <f t="shared" si="4"/>
        <v>0</v>
      </c>
      <c r="AH19" s="1392">
        <f t="shared" si="4"/>
        <v>0</v>
      </c>
      <c r="AI19" s="1392">
        <f t="shared" si="4"/>
        <v>0</v>
      </c>
      <c r="AJ19" s="1392">
        <f t="shared" si="4"/>
        <v>0</v>
      </c>
      <c r="AK19" s="1392">
        <f t="shared" si="4"/>
        <v>0</v>
      </c>
      <c r="AL19" s="1392">
        <f t="shared" si="4"/>
        <v>0</v>
      </c>
      <c r="AM19" s="1392">
        <f t="shared" si="4"/>
        <v>469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280</v>
      </c>
      <c r="BD19" s="1392">
        <f t="shared" si="4"/>
        <v>1435</v>
      </c>
      <c r="BE19" s="1392">
        <f t="shared" si="4"/>
        <v>0</v>
      </c>
      <c r="BF19" s="1392">
        <f t="shared" si="4"/>
        <v>0</v>
      </c>
      <c r="BG19" s="1392">
        <f>IF(ISNUMBER(Datos!K19/Datos!J19),Datos!K19/Datos!J19," - ")</f>
        <v>1.0557440620455647</v>
      </c>
      <c r="BH19" s="1396">
        <f>IF(ISNUMBER(((Datos!L19/Datos!K19)*11)/factor_trimestre),((Datos!L19/Datos!K19)*11)/factor_trimestre," - ")</f>
        <v>4.3581267217630852</v>
      </c>
      <c r="BI19" s="1392">
        <f>SUBTOTAL(9,BI15:BI18)</f>
        <v>0.12891344383057091</v>
      </c>
      <c r="BJ19" s="1392">
        <f>SUBTOTAL(9,BJ15:BJ18)</f>
        <v>0</v>
      </c>
      <c r="BK19" s="1392">
        <f>SUBTOTAL(9,BK15:BK18)</f>
        <v>0</v>
      </c>
      <c r="BL19" s="1392">
        <f>IF(ISNUMBER((I19-AB19+L19)/(F19)),(I19-AB19+L19)/(F19)," - ")</f>
        <v>-0.67702828722412189</v>
      </c>
      <c r="BM19" s="1398">
        <f>IF(ISNUMBER((Datos!P19-Datos!Q19)/(Datos!R19-Datos!P19+Datos!Q19)),(Datos!P19-Datos!Q19)/(Datos!R19-Datos!P19+Datos!Q19)," - ")</f>
        <v>-6.2E-2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9</v>
      </c>
      <c r="F20" s="1367">
        <f t="shared" si="6"/>
        <v>3253</v>
      </c>
      <c r="G20" s="1367">
        <f t="shared" si="6"/>
        <v>3315</v>
      </c>
      <c r="H20" s="1369">
        <f t="shared" si="6"/>
        <v>0</v>
      </c>
      <c r="I20" s="1367">
        <f t="shared" si="6"/>
        <v>0</v>
      </c>
      <c r="J20" s="1369">
        <f t="shared" si="6"/>
        <v>0</v>
      </c>
      <c r="K20" s="1369">
        <f t="shared" si="6"/>
        <v>0</v>
      </c>
      <c r="L20" s="1386">
        <f t="shared" si="6"/>
        <v>0</v>
      </c>
      <c r="M20" s="1386">
        <f t="shared" si="6"/>
        <v>0</v>
      </c>
      <c r="N20" s="1386">
        <f t="shared" si="6"/>
        <v>171</v>
      </c>
      <c r="O20" s="1386">
        <f t="shared" si="6"/>
        <v>0</v>
      </c>
      <c r="P20" s="1386">
        <f t="shared" si="6"/>
        <v>0</v>
      </c>
      <c r="Q20" s="1369">
        <f t="shared" si="6"/>
        <v>472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2183</v>
      </c>
      <c r="AC20" s="1368">
        <f t="shared" si="7"/>
        <v>187</v>
      </c>
      <c r="AD20" s="1368">
        <f t="shared" si="7"/>
        <v>0</v>
      </c>
      <c r="AE20" s="1368">
        <f t="shared" si="7"/>
        <v>0</v>
      </c>
      <c r="AF20" s="1371">
        <f t="shared" si="7"/>
        <v>3195</v>
      </c>
      <c r="AG20" s="1371">
        <f t="shared" si="7"/>
        <v>0</v>
      </c>
      <c r="AH20" s="1371">
        <f t="shared" si="7"/>
        <v>418</v>
      </c>
      <c r="AI20" s="1371">
        <f t="shared" si="7"/>
        <v>0</v>
      </c>
      <c r="AJ20" s="1368">
        <f t="shared" si="7"/>
        <v>0</v>
      </c>
      <c r="AK20" s="1371">
        <f t="shared" si="7"/>
        <v>0</v>
      </c>
      <c r="AL20" s="1371">
        <f t="shared" si="7"/>
        <v>0</v>
      </c>
      <c r="AM20" s="1371">
        <f t="shared" si="7"/>
        <v>12553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1139</v>
      </c>
      <c r="BD20" s="1367">
        <f t="shared" si="7"/>
        <v>2795</v>
      </c>
      <c r="BE20" s="1367">
        <f t="shared" si="7"/>
        <v>0</v>
      </c>
      <c r="BF20" s="1373">
        <f t="shared" si="7"/>
        <v>0</v>
      </c>
      <c r="BG20" s="1404">
        <f>IF(ISNUMBER(Datos!K20/Datos!J20),Datos!K20/Datos!J20," - ")</f>
        <v>0.97809330628803248</v>
      </c>
      <c r="BH20" s="1404">
        <f>IF(ISNUMBER(((Datos!L20/Datos!K20)*11)/factor_trimestre),((Datos!L20/Datos!K20)*11)/factor_trimestre," - ")</f>
        <v>9.8442554956449602</v>
      </c>
      <c r="BI20" s="1362">
        <f>IF(ISNUMBER(Datos!J20/Datos!I20),Datos!J20/Datos!I20," - ")</f>
        <v>0.3137130130448616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-0.671072855825392</v>
      </c>
      <c r="BM20" s="1387">
        <f>IF(ISNUMBER((Datos!P20-Datos!Q20+R20)/(Datos!R20-Datos!P20+Datos!Q20-R20)),(Datos!P20-Datos!Q20+R20)/(Datos!R20-Datos!P20+Datos!Q20-R20)," - ")</f>
        <v>2.3231170524942942E-2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2.5298221281347035</v>
      </c>
      <c r="F22" s="1298">
        <f>IF(ISNUMBER(STDEV(F8:F19)),STDEV(F8:F19),"-")</f>
        <v>1748.4801114110508</v>
      </c>
      <c r="G22" s="1299">
        <f>IF(ISNUMBER(STDEV(G8:G19)),STDEV(G8:G19),"-")</f>
        <v>1659.8062537537326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1121.103147202195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383.55697410026636</v>
      </c>
      <c r="BD22" s="1298"/>
      <c r="BE22" s="1298">
        <f>IF(ISNUMBER(STDEV(BE8:BE19)),STDEV(BE8:BE19),"-")</f>
        <v>0</v>
      </c>
      <c r="BF22" s="1303">
        <f>IF(ISNUMBER(STDEV(BF8:BF19)),STDEV(BF8:BF19),"-")</f>
        <v>0</v>
      </c>
      <c r="BG22" s="1360">
        <f>IF(ISNUMBER(STDEV(BG8:BG19)),STDEV(BG8:BG19),"-")</f>
        <v>7.5018375717010852E-2</v>
      </c>
      <c r="BH22" s="1361">
        <f>IF(ISNUMBER(STDEV(BH8:BH19)),STDEV(BH8:BH19),"-")</f>
        <v>8.9942691900066727</v>
      </c>
      <c r="BI22" s="1224">
        <f>IF(ISNUMBER(STDEV(BI8:BI19)),STDEV(BI8:BI19),"-")</f>
        <v>0.12508765951325176</v>
      </c>
      <c r="BJ22" s="1219" t="str">
        <f>IF(ISNUMBER(BL22/BM22),BL22/BM22," - ")</f>
        <v xml:space="preserve"> - </v>
      </c>
      <c r="BK22" s="1320"/>
      <c r="BL22" s="1306">
        <f>IF(ISNUMBER(STDEV(BL8:BL19)),STDEV(BL8:BL19),"-")</f>
        <v>0.38052201778649192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d79w1GYa0TgxxQPkS/0ygbJkRJS910C0ZbVuB64oUSliQS5DjtWWPQyHhgiVUxBVKTii7i1l2sIE8tviCq/Q==" saltValue="ZLx3VFDR15NKXL//DlF9u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TELDE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428</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112</v>
      </c>
      <c r="AA9" s="331" t="str">
        <f>IF(ISNUMBER(IF(J_V="SI",Datos!L9,Datos!L9+Datos!AB9)-IF(Monitorios="SI",Datos!CD9,0)),
                          IF(J_V="SI",Datos!L9,Datos!L9+Datos!AB9)-IF(Monitorios="SI",Datos!CD9,0),
                          " - ")</f>
        <v xml:space="preserve"> - </v>
      </c>
      <c r="AB9" s="333"/>
      <c r="AC9" s="333"/>
      <c r="AD9" s="483"/>
      <c r="AE9" s="483">
        <f>IF(ISNUMBER(Datos!R9),Datos!R9," - ")</f>
        <v>11989</v>
      </c>
      <c r="AF9" s="228" t="str">
        <f>IF(ISNUMBER(Datos!BV9),Datos!BV9," - ")</f>
        <v xml:space="preserve"> - </v>
      </c>
      <c r="AG9" s="224" t="str">
        <f>IF(ISNUMBER(Datos!DV9),Datos!DV9," - ")</f>
        <v xml:space="preserve"> - </v>
      </c>
      <c r="AH9" s="297"/>
      <c r="AI9" s="226"/>
      <c r="AJ9" s="224">
        <f>IF(ISNUMBER(Datos!M9),Datos!M9," - ")</f>
        <v>854</v>
      </c>
      <c r="AK9" s="228">
        <f>IF(ISNUMBER(Datos!N9),Datos!N9," - ")</f>
        <v>1360</v>
      </c>
      <c r="AL9" s="228" t="str">
        <f>IF(ISNUMBER(Datos!BW9),Datos!BW9," - ")</f>
        <v xml:space="preserve"> - </v>
      </c>
      <c r="AM9" s="227" t="str">
        <f>IF(ISNUMBER(Datos!BX9),Datos!BX9," - ")</f>
        <v xml:space="preserve"> - </v>
      </c>
      <c r="AN9" s="242"/>
      <c r="AO9" s="259">
        <f>IF(ISNUMBER(((NºAsuntos!I9/NºAsuntos!G9)*11)/factor_trimestre),((NºAsuntos!I9/NºAsuntos!G9)*11)/factor_trimestre," - ")</f>
        <v>13.903374777975133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2.7071018589908336E-2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36</v>
      </c>
      <c r="G10" s="224">
        <f>IF(ISNUMBER(Datos!I10),Datos!I10," - ")</f>
        <v>36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31</v>
      </c>
      <c r="AB10" s="333"/>
      <c r="AC10" s="333"/>
      <c r="AD10" s="483"/>
      <c r="AE10" s="483">
        <f>IF(ISNUMBER(Datos!R10),Datos!R10," - ")</f>
        <v>95</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18.600000000000001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36</v>
      </c>
      <c r="G13" s="895">
        <f>SUBTOTAL(9,G8:G12)</f>
        <v>36</v>
      </c>
      <c r="H13" s="905"/>
      <c r="I13" s="895">
        <f t="shared" ref="I13:N13" si="0">SUBTOTAL(9,I8:I12)</f>
        <v>0</v>
      </c>
      <c r="J13" s="864">
        <f t="shared" si="0"/>
        <v>0</v>
      </c>
      <c r="K13" s="905">
        <f t="shared" si="0"/>
        <v>0</v>
      </c>
      <c r="L13" s="905">
        <f t="shared" si="0"/>
        <v>0</v>
      </c>
      <c r="M13" s="905">
        <f t="shared" si="0"/>
        <v>0</v>
      </c>
      <c r="N13" s="905">
        <f t="shared" si="0"/>
        <v>428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112</v>
      </c>
      <c r="AA13" s="897">
        <f t="shared" si="2"/>
        <v>31</v>
      </c>
      <c r="AB13" s="897">
        <f t="shared" si="2"/>
        <v>0</v>
      </c>
      <c r="AC13" s="897">
        <f t="shared" si="2"/>
        <v>0</v>
      </c>
      <c r="AD13" s="897">
        <f t="shared" si="2"/>
        <v>0</v>
      </c>
      <c r="AE13" s="897">
        <f t="shared" si="2"/>
        <v>12084</v>
      </c>
      <c r="AF13" s="905">
        <f t="shared" si="2"/>
        <v>0</v>
      </c>
      <c r="AG13" s="905">
        <f t="shared" si="2"/>
        <v>0</v>
      </c>
      <c r="AH13" s="905">
        <f t="shared" si="2"/>
        <v>0</v>
      </c>
      <c r="AI13" s="905">
        <f t="shared" si="2"/>
        <v>0</v>
      </c>
      <c r="AJ13" s="905">
        <f t="shared" si="2"/>
        <v>859</v>
      </c>
      <c r="AK13" s="905">
        <f t="shared" si="2"/>
        <v>1360</v>
      </c>
      <c r="AL13" s="905">
        <f t="shared" si="2"/>
        <v>0</v>
      </c>
      <c r="AM13" s="905">
        <f t="shared" si="2"/>
        <v>0</v>
      </c>
      <c r="AN13" s="905">
        <f t="shared" si="2"/>
        <v>0</v>
      </c>
      <c r="AO13" s="901">
        <f>IF(ISNUMBER(((NºAsuntos!I13/NºAsuntos!G13)*11)/factor_trimestre),((NºAsuntos!I13/NºAsuntos!G13)*11)/factor_trimestre," - ")</f>
        <v>13.911702127659575</v>
      </c>
      <c r="AP13" s="907" t="str">
        <f>IF(ISNUMBER(Datos!CI13/Datos!CJ13),Datos!CI13/Datos!CJ13," - ")</f>
        <v xml:space="preserve"> - </v>
      </c>
      <c r="AQ13" s="923">
        <f t="shared" ref="AQ13:AV13" si="3">SUBTOTAL(9,AQ9:AQ12)</f>
        <v>0</v>
      </c>
      <c r="AR13" s="923">
        <f t="shared" si="3"/>
        <v>2.7071018589908336E-2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3216</v>
      </c>
      <c r="G15" s="224">
        <f>IF(ISNUMBER(IF(D_I="SI",Datos!I15,Datos!I15+Datos!AC15)),IF(D_I="SI",Datos!I15,Datos!I15+Datos!AC15)," - ")</f>
        <v>3216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2172</v>
      </c>
      <c r="Z15" s="617">
        <f>IF(ISNUMBER(Datos!Q15),Datos!Q15," - ")</f>
        <v>75</v>
      </c>
      <c r="AA15" s="331">
        <f>IF(ISNUMBER(IF(D_I="SI",Datos!L15,Datos!L15+Datos!AF15)),IF(D_I="SI",Datos!L15,Datos!L15+Datos!AF15)," - ")</f>
        <v>3107</v>
      </c>
      <c r="AB15" s="333"/>
      <c r="AC15" s="333"/>
      <c r="AD15" s="483"/>
      <c r="AE15" s="483">
        <f>IF(ISNUMBER(Datos!R15),Datos!R15," - ")</f>
        <v>469</v>
      </c>
      <c r="AF15" s="228" t="str">
        <f>IF(ISNUMBER(Datos!BV15),Datos!BV15," - ")</f>
        <v xml:space="preserve"> - </v>
      </c>
      <c r="AG15" s="224"/>
      <c r="AH15" s="297"/>
      <c r="AI15" s="226"/>
      <c r="AJ15" s="224">
        <f>IF(ISNUMBER(Datos!M15),Datos!M15," - ")</f>
        <v>280</v>
      </c>
      <c r="AK15" s="228">
        <f>IF(ISNUMBER(Datos!N15),Datos!N15," - ")</f>
        <v>1433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4.291436464088398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1</v>
      </c>
      <c r="G17" s="224">
        <f>IF(ISNUMBER(IF(D_I="SI",Datos!I17,Datos!I17+Datos!AC17)),IF(D_I="SI",Datos!I17,Datos!I17+Datos!AC17)," - ")</f>
        <v>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0</v>
      </c>
      <c r="Z17" s="617">
        <f>IF(ISNUMBER(Datos!Q17),Datos!Q17," - ")</f>
        <v>0</v>
      </c>
      <c r="AA17" s="331">
        <f>IF(ISNUMBER(IF(D_I="SI",Datos!L17,Datos!L17+Datos!AF17)),IF(D_I="SI",Datos!L17,Datos!L17+Datos!AF17)," - ")</f>
        <v>1</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v>
      </c>
      <c r="Z18" s="617">
        <f>IF(ISNUMBER(Datos!Q18),Datos!Q18," - ")</f>
        <v>0</v>
      </c>
      <c r="AA18" s="331">
        <f>IF(ISNUMBER(Datos!L18),Datos!L18,"-")</f>
        <v>56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28.000000000000004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3217</v>
      </c>
      <c r="G19" s="895">
        <f>SUBTOTAL(9,G15:G18)</f>
        <v>3279</v>
      </c>
      <c r="H19" s="927">
        <f>SUBTOTAL(9,H15:H18)</f>
        <v>0</v>
      </c>
      <c r="I19" s="908">
        <f>SUBTOTAL(9,I15:I18)</f>
        <v>0</v>
      </c>
      <c r="J19" s="864">
        <f>SUBTOTAL(9,J14:J18)</f>
        <v>0</v>
      </c>
      <c r="K19" s="927">
        <f t="shared" ref="K19:S19" si="4">SUBTOTAL(9,K15:K18)</f>
        <v>0</v>
      </c>
      <c r="L19" s="927">
        <f t="shared" si="4"/>
        <v>0</v>
      </c>
      <c r="M19" s="927">
        <f t="shared" si="4"/>
        <v>0</v>
      </c>
      <c r="N19" s="927">
        <f t="shared" si="4"/>
        <v>44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2178</v>
      </c>
      <c r="Z19" s="927">
        <f t="shared" si="5"/>
        <v>75</v>
      </c>
      <c r="AA19" s="927">
        <f t="shared" si="5"/>
        <v>3164</v>
      </c>
      <c r="AB19" s="927">
        <f t="shared" si="5"/>
        <v>0</v>
      </c>
      <c r="AC19" s="927">
        <f t="shared" si="5"/>
        <v>0</v>
      </c>
      <c r="AD19" s="927">
        <f t="shared" si="5"/>
        <v>0</v>
      </c>
      <c r="AE19" s="927">
        <f t="shared" si="5"/>
        <v>469</v>
      </c>
      <c r="AF19" s="927">
        <f t="shared" si="5"/>
        <v>0</v>
      </c>
      <c r="AG19" s="927">
        <f t="shared" si="5"/>
        <v>0</v>
      </c>
      <c r="AH19" s="927">
        <f t="shared" si="5"/>
        <v>0</v>
      </c>
      <c r="AI19" s="927">
        <f t="shared" si="5"/>
        <v>0</v>
      </c>
      <c r="AJ19" s="927">
        <f t="shared" si="5"/>
        <v>280</v>
      </c>
      <c r="AK19" s="927">
        <f t="shared" si="5"/>
        <v>1435</v>
      </c>
      <c r="AL19" s="927">
        <f t="shared" si="5"/>
        <v>0</v>
      </c>
      <c r="AM19" s="927">
        <f t="shared" si="5"/>
        <v>0</v>
      </c>
      <c r="AN19" s="927">
        <f t="shared" si="5"/>
        <v>0</v>
      </c>
      <c r="AO19" s="929">
        <f>IF(ISNUMBER(((NºAsuntos!I19/NºAsuntos!G19)*11)/factor_trimestre),((NºAsuntos!I19/NºAsuntos!G19)*11)/factor_trimestre," - ")</f>
        <v>4.3581267217630852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9</v>
      </c>
      <c r="F20" s="817">
        <f t="shared" si="7"/>
        <v>3253</v>
      </c>
      <c r="G20" s="817">
        <f t="shared" si="7"/>
        <v>3315</v>
      </c>
      <c r="H20" s="818">
        <f t="shared" si="7"/>
        <v>0</v>
      </c>
      <c r="I20" s="817">
        <f t="shared" si="7"/>
        <v>0</v>
      </c>
      <c r="J20" s="819">
        <f t="shared" si="7"/>
        <v>0</v>
      </c>
      <c r="K20" s="817">
        <f t="shared" si="7"/>
        <v>0</v>
      </c>
      <c r="L20" s="820">
        <f t="shared" si="7"/>
        <v>0</v>
      </c>
      <c r="M20" s="817">
        <f t="shared" si="7"/>
        <v>0</v>
      </c>
      <c r="N20" s="818">
        <f t="shared" si="7"/>
        <v>472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2183</v>
      </c>
      <c r="Z20" s="824">
        <f t="shared" si="8"/>
        <v>187</v>
      </c>
      <c r="AA20" s="825">
        <f t="shared" si="8"/>
        <v>3195</v>
      </c>
      <c r="AB20" s="825">
        <f t="shared" si="8"/>
        <v>0</v>
      </c>
      <c r="AC20" s="825">
        <f t="shared" si="8"/>
        <v>0</v>
      </c>
      <c r="AD20" s="826">
        <f t="shared" si="8"/>
        <v>0</v>
      </c>
      <c r="AE20" s="826">
        <f t="shared" si="8"/>
        <v>12553</v>
      </c>
      <c r="AF20" s="827">
        <f t="shared" si="8"/>
        <v>0</v>
      </c>
      <c r="AG20" s="828">
        <f t="shared" si="8"/>
        <v>0</v>
      </c>
      <c r="AH20" s="829">
        <f t="shared" si="8"/>
        <v>0</v>
      </c>
      <c r="AI20" s="827">
        <f t="shared" si="8"/>
        <v>0</v>
      </c>
      <c r="AJ20" s="817">
        <f t="shared" si="8"/>
        <v>1139</v>
      </c>
      <c r="AK20" s="817">
        <f t="shared" si="8"/>
        <v>2795</v>
      </c>
      <c r="AL20" s="817">
        <f t="shared" si="8"/>
        <v>0</v>
      </c>
      <c r="AM20" s="830">
        <f t="shared" si="8"/>
        <v>0</v>
      </c>
      <c r="AN20" s="820">
        <f>IF(ISNUMBER(Datos!K20/Datos!J20),Datos!K20/Datos!J20," - ")</f>
        <v>0.97809330628803248</v>
      </c>
      <c r="AO20" s="820">
        <f>IF(ISNUMBER(FIND("06",Criterios!A8,1)),(IF(ISNUMBER(((Datos!R20/Datos!Q20)*11)/factor_trimestre),((Datos!R20/Datos!Q20)*11)/factor_trimestre," - ")),(IF(ISNUMBER(((Datos!L20/Datos!K20)*11)/factor_trimestre),((Datos!L20/Datos!K20)*11)/factor_trimestre," - ")))</f>
        <v>9.8442554956449602</v>
      </c>
      <c r="AP20" s="831" t="str">
        <f>IF(ISNUMBER(Datos!CI20/Datos!CJ20),Datos!CI20/Datos!CJ20," - ")</f>
        <v xml:space="preserve"> - </v>
      </c>
      <c r="AQ20" s="831">
        <f>IF(OR(ISNUMBER(FIND("01",Criterios!A8,1)),ISNUMBER(FIND("02",Criterios!A8,1)),ISNUMBER(FIND("03",Criterios!A8,1)),ISNUMBER(FIND("04",Criterios!A8,1))),(J20-Y20+K20)/(F20-K20),(I20-Y20+K20)/(F20-K20))</f>
        <v>-0.671072855825392</v>
      </c>
      <c r="AR20" s="831">
        <f>IF(ISNUMBER((Datos!P20-Datos!Q20+O20)/(Datos!R20-Datos!P20+Datos!Q20-O20)),(Datos!P20-Datos!Q20+O20)/(Datos!R20-Datos!P20+Datos!Q20-O20)," - ")</f>
        <v>2.3231170524942942E-2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1748.4801114110508</v>
      </c>
      <c r="G22" s="551">
        <f>IF(ISNUMBER(STDEV(G8:G19)),STDEV(G8:G19),"-")</f>
        <v>1659.8062537537326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383.55697410026636</v>
      </c>
      <c r="AK22" s="251"/>
      <c r="AL22" s="251">
        <f>IF(ISNUMBER(STDEV(AL8:AL19)),STDEV(AL8:AL19),"-")</f>
        <v>0</v>
      </c>
      <c r="AM22" s="253">
        <f>IF(ISNUMBER(STDEV(AM8:AM19)),STDEV(AM8:AM19),"-")</f>
        <v>0</v>
      </c>
      <c r="AN22" s="538">
        <f>IF(ISNUMBER(STDEV(AN8:AN19)),STDEV(AN8:AN19),"-")</f>
        <v>0</v>
      </c>
      <c r="AO22" s="539">
        <f>IF(ISNUMBER(STDEV(AO8:AO19)),STDEV(AO8:AO19),"-")</f>
        <v>8.9916988698739271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8ldjBjGdnzu62djMkEjMApWCshzar5lnr7+HS1OnYbUmo2OM/6lk9iLtweMiWDLsNdsLbA01aPwo4qqabpr3g==" saltValue="mXc90VUszwGxaQAae0W9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axq2fpRm/Eisli+26GB+zerwMMqc04mmanmtnmetyNjqgDxXhNfbknrMSXqV+rq9hIUEjuRzkN2IK7zFiHpMA==" saltValue="19EHLs79A2yoz9pVXWLC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9rI4jEdNckM+uK5G51tenCvRVOkf+1EWh06GKXTFGcWa+vyQrsRtc8FLhDcQl5kVpNvHhy/MPYTmBPYSWjaqQ==" saltValue="6HMIXrpgasi9jpZLI+g0J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TELDE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0.30460992907801421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0.21539174646781717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I2gacH6hphKW1jQpMLOz6yxOm6PdM3hDCQug7CnivAWsxQzgzGY41BvPQNC9ZmX0WJR9nVws4oH3B5UjF6q4w==" saltValue="0CC2hg9ngHO/dd38e6wZg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TkF0WCAOPhwCrgerYsd73POsDMDgS/DGW5iu18PKEtRerokFlu97Y8LABvSZpUrViz62DLYCWuxyQ+hB8sWDA==" saltValue="k3lX8X1kAfRnvCK5LU7v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TELDE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12823</v>
      </c>
      <c r="D9" s="403">
        <f>IF(ISNUMBER(C9/Datos!BH9),C9/Datos!BH9," - ")</f>
        <v>2137.1666666666665</v>
      </c>
      <c r="E9" s="402">
        <f>IF(ISNUMBER(IF(J_V="SI",Datos!J9,Datos!J9+Datos!Z9)),IF(J_V="SI",Datos!J9,Datos!J9+Datos!Z9)," - ")</f>
        <v>3038</v>
      </c>
      <c r="F9" s="403">
        <f>IF(ISNUMBER(E9/B9),E9/B9," - ")</f>
        <v>506.33333333333331</v>
      </c>
      <c r="G9" s="402">
        <f>IF(ISNUMBER(IF(J_V="SI",Datos!K9,Datos!K9+Datos!AA9)),IF(J_V="SI",Datos!K9,Datos!K9+Datos!AA9)," - ")</f>
        <v>2815</v>
      </c>
      <c r="H9" s="403">
        <f>IF(ISNUMBER(G9/B9),G9/B9," - ")</f>
        <v>469.16666666666669</v>
      </c>
      <c r="I9" s="402">
        <f>IF(ISNUMBER(IF(J_V="SI",Datos!L9,Datos!L9+Datos!AB9)),IF(J_V="SI",Datos!L9,Datos!L9+Datos!AB9)," - ")</f>
        <v>13046</v>
      </c>
      <c r="J9" s="403">
        <f>IF(ISNUMBER(I9/B9),I9/B9," - ")</f>
        <v>2174.3333333333335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36</v>
      </c>
      <c r="D10" s="403">
        <f>IF(ISNUMBER(C10/Datos!BH10),C10/Datos!BH10," - ")</f>
        <v>36</v>
      </c>
      <c r="E10" s="402">
        <f>IF(ISNUMBER(Datos!J10),Datos!J10," - ")</f>
        <v>0</v>
      </c>
      <c r="F10" s="403">
        <f>IF(ISNUMBER(E10/B10),E10/B10," - ")</f>
        <v>0</v>
      </c>
      <c r="G10" s="402">
        <f>IF(ISNUMBER(Datos!K10),Datos!K10," - ")</f>
        <v>5</v>
      </c>
      <c r="H10" s="403">
        <f>IF(ISNUMBER(G10/B10),G10/B10," - ")</f>
        <v>5</v>
      </c>
      <c r="I10" s="402">
        <f>IF(ISNUMBER(Datos!L10),Datos!L10," - ")</f>
        <v>31</v>
      </c>
      <c r="J10" s="403">
        <f>IF(ISNUMBER(I10/B10),I10/B10," - ")</f>
        <v>31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12859</v>
      </c>
      <c r="D13" s="847" t="str">
        <f>IF(ISNUMBER(C13/Datos!BI13),C13/Datos!BI13," - ")</f>
        <v xml:space="preserve"> - </v>
      </c>
      <c r="E13" s="846">
        <f>SUBTOTAL(9,E8:E12)</f>
        <v>3038</v>
      </c>
      <c r="F13" s="847">
        <f>IF(ISNUMBER(E13/B13),E13/B13," - ")</f>
        <v>506.33333333333331</v>
      </c>
      <c r="G13" s="846">
        <f>SUBTOTAL(9,G8:G12)</f>
        <v>2820</v>
      </c>
      <c r="H13" s="847">
        <f>IF(ISNUMBER(G13/B13),G13/B13," - ")</f>
        <v>470</v>
      </c>
      <c r="I13" s="846">
        <f>SUBTOTAL(9,I8:I12)</f>
        <v>13077</v>
      </c>
      <c r="J13" s="847">
        <f>IF(ISNUMBER(I13/B13),I13/B13," - ")</f>
        <v>2179.5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3216</v>
      </c>
      <c r="D15" s="403">
        <f>IF(ISNUMBER(C15/Datos!BH15),C15/Datos!BH15," - ")</f>
        <v>1072</v>
      </c>
      <c r="E15" s="402">
        <f>IF(ISNUMBER(IF(D_I="SI",Datos!J15,Datos!J15+Datos!AD15)),IF(D_I="SI",Datos!J15,Datos!J15+Datos!AD15)," - ")</f>
        <v>2063</v>
      </c>
      <c r="F15" s="403">
        <f>IF(ISNUMBER(E15/B15),E15/B15," - ")</f>
        <v>687.66666666666663</v>
      </c>
      <c r="G15" s="402">
        <f>IF(ISNUMBER(IF(D_I="SI",Datos!K15,Datos!K15+Datos!AE15)),IF(D_I="SI",Datos!K15,Datos!K15+Datos!AE15)," - ")</f>
        <v>2172</v>
      </c>
      <c r="H15" s="403">
        <f>IF(ISNUMBER(G15/B15),G15/B15," - ")</f>
        <v>724</v>
      </c>
      <c r="I15" s="402">
        <f>IF(ISNUMBER(IF(D_I="SI",Datos!L15,Datos!L15+Datos!AF15)),IF(D_I="SI",Datos!L15,Datos!L15+Datos!AF15)," - ")</f>
        <v>3107</v>
      </c>
      <c r="J15" s="403">
        <f>IF(ISNUMBER(I15/B15),I15/B15," - ")</f>
        <v>1035.6666666666667</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1</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1</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62</v>
      </c>
      <c r="D18" s="403">
        <f>IF(ISNUMBER(C18/Datos!BH18),C18/Datos!BH18," - ")</f>
        <v>62</v>
      </c>
      <c r="E18" s="402">
        <f>IF(ISNUMBER(IF(D_I="SI",Datos!J18,Datos!J18+Datos!AD18)),IF(D_I="SI",Datos!J18,Datos!J18+Datos!AD18)," - ")</f>
        <v>0</v>
      </c>
      <c r="F18" s="403">
        <f>IF(ISNUMBER(E18/B18),E18/B18," - ")</f>
        <v>0</v>
      </c>
      <c r="G18" s="402">
        <f>IF(ISNUMBER(IF(D_I="SI",Datos!K18,Datos!K18+Datos!AE18)),IF(D_I="SI",Datos!K18,Datos!K18+Datos!AE18)," - ")</f>
        <v>6</v>
      </c>
      <c r="H18" s="403">
        <f>IF(ISNUMBER(G18/B18),G18/B18," - ")</f>
        <v>6</v>
      </c>
      <c r="I18" s="402">
        <f>IF(ISNUMBER(IF(D_I="SI",Datos!L18,Datos!L18+Datos!AF18)),IF(D_I="SI",Datos!L18,Datos!L18+Datos!AF18)," - ")</f>
        <v>56</v>
      </c>
      <c r="J18" s="403">
        <f>IF(ISNUMBER(I18/B18),I18/B18," - ")</f>
        <v>56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3279</v>
      </c>
      <c r="D19" s="847" t="str">
        <f>IF(ISNUMBER(C19/Datos!BI19),C19/Datos!BI19," - ")</f>
        <v xml:space="preserve"> - </v>
      </c>
      <c r="E19" s="846">
        <f>SUBTOTAL(9,E14:E18)</f>
        <v>2063</v>
      </c>
      <c r="F19" s="847">
        <f>IF(ISNUMBER(E19/B19),E19/B19," - ")</f>
        <v>687.66666666666663</v>
      </c>
      <c r="G19" s="846">
        <f>SUBTOTAL(9,G14:G18)</f>
        <v>2178</v>
      </c>
      <c r="H19" s="847">
        <f>IF(ISNUMBER(G19/B19),G19/B19," - ")</f>
        <v>726</v>
      </c>
      <c r="I19" s="846">
        <f>SUBTOTAL(9,I14:I18)</f>
        <v>3164</v>
      </c>
      <c r="J19" s="847">
        <f>IF(ISNUMBER(I19/B19),I19/B19," - ")</f>
        <v>1054.6666666666667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16138</v>
      </c>
      <c r="D20" s="792" t="str">
        <f>IF(ISNUMBER(C20/Datos!BI20),C20/Datos!BI20," - ")</f>
        <v xml:space="preserve"> - </v>
      </c>
      <c r="E20" s="791">
        <f>SUBTOTAL(9,E9:E19)</f>
        <v>5101</v>
      </c>
      <c r="F20" s="792">
        <f>IF(ISNUMBER(E20/B20),E20/B20," - ")</f>
        <v>566.77777777777783</v>
      </c>
      <c r="G20" s="791">
        <f>SUBTOTAL(9,G9:G19)</f>
        <v>4998</v>
      </c>
      <c r="H20" s="792">
        <f>IF(ISNUMBER(G20/B20),G20/B20," - ")</f>
        <v>555.33333333333337</v>
      </c>
      <c r="I20" s="791">
        <f>SUBTOTAL(9,I9:I19)</f>
        <v>16241</v>
      </c>
      <c r="J20" s="792">
        <f>IF(ISNUMBER(I20/B20),I20/B20," - ")</f>
        <v>1804.5555555555557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bauGbu0Ct+Ei2szfNtrhnSxWm5z2q+ODMg7S4ZQ1P94HaKlI8FYB6we7tPstA8aLuEU/7lP9eH0GapryzQP+g==" saltValue="HeeZ/FlL/owcS36mtOsHi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TELDE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36</v>
      </c>
      <c r="G10" s="681">
        <f>IF(ISNUMBER(Datos!I10),Datos!I10," - ")</f>
        <v>36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31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18.600000000000001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36</v>
      </c>
      <c r="G13" s="933">
        <f t="shared" si="0"/>
        <v>36</v>
      </c>
      <c r="H13" s="933">
        <f t="shared" si="0"/>
        <v>0</v>
      </c>
      <c r="I13" s="935">
        <f t="shared" si="0"/>
        <v>0</v>
      </c>
      <c r="J13" s="934">
        <f t="shared" si="0"/>
        <v>0</v>
      </c>
      <c r="K13" s="934">
        <f t="shared" si="0"/>
        <v>0</v>
      </c>
      <c r="L13" s="936">
        <f t="shared" si="0"/>
        <v>0</v>
      </c>
      <c r="M13" s="936">
        <f t="shared" si="0"/>
        <v>0</v>
      </c>
      <c r="N13" s="934">
        <f t="shared" si="0"/>
        <v>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0</v>
      </c>
      <c r="AE13" s="934">
        <f t="shared" si="1"/>
        <v>0</v>
      </c>
      <c r="AF13" s="934">
        <f t="shared" si="1"/>
        <v>31</v>
      </c>
      <c r="AG13" s="934">
        <f t="shared" si="1"/>
        <v>0</v>
      </c>
      <c r="AH13" s="934">
        <f t="shared" si="1"/>
        <v>0</v>
      </c>
      <c r="AI13" s="934">
        <f t="shared" si="1"/>
        <v>0</v>
      </c>
      <c r="AJ13" s="934">
        <f t="shared" si="1"/>
        <v>0</v>
      </c>
      <c r="AK13" s="934">
        <f t="shared" si="1"/>
        <v>0</v>
      </c>
      <c r="AL13" s="934">
        <f t="shared" si="1"/>
        <v>5</v>
      </c>
      <c r="AM13" s="934">
        <f t="shared" si="1"/>
        <v>0</v>
      </c>
      <c r="AN13" s="934">
        <f t="shared" si="1"/>
        <v>0</v>
      </c>
      <c r="AO13" s="934">
        <f t="shared" si="1"/>
        <v>0</v>
      </c>
      <c r="AP13" s="939">
        <f>IF(ISNUMBER(((Datos!L13/Datos!K13)*11)/factor_trimestre),((Datos!L13/Datos!K13)*11)/factor_trimestre," - ")</f>
        <v>14.363464447806356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-0.1388888888888889</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4.3581267217630852</v>
      </c>
      <c r="AQ19" s="939">
        <f>IF(ISNUMBER(((Datos!M19/Datos!L19)*11)/factor_trimestre),((Datos!M19/Datos!L19)*11)/factor_trimestre," - ")</f>
        <v>0.26548672566371684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-6.2E-2</v>
      </c>
      <c r="AW19" s="941">
        <f>IF(ISNUMBER((Datos!Q19-Datos!R19)/(Datos!S19-Datos!Q19+Datos!R19)),(Datos!Q19-Datos!R19)/(Datos!S19-Datos!Q19+Datos!R19)," - ")</f>
        <v>-0.10619946091644204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36</v>
      </c>
      <c r="G20" s="946">
        <f t="shared" si="4"/>
        <v>36</v>
      </c>
      <c r="H20" s="946">
        <f t="shared" si="4"/>
        <v>0</v>
      </c>
      <c r="I20" s="947">
        <f t="shared" si="4"/>
        <v>0</v>
      </c>
      <c r="J20" s="948">
        <f t="shared" si="4"/>
        <v>0</v>
      </c>
      <c r="K20" s="948">
        <f t="shared" si="4"/>
        <v>0</v>
      </c>
      <c r="L20" s="948">
        <f t="shared" si="4"/>
        <v>0</v>
      </c>
      <c r="M20" s="948">
        <f t="shared" si="4"/>
        <v>0</v>
      </c>
      <c r="N20" s="947">
        <f t="shared" si="4"/>
        <v>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0</v>
      </c>
      <c r="AE20" s="952">
        <f t="shared" si="5"/>
        <v>0</v>
      </c>
      <c r="AF20" s="953">
        <f t="shared" si="5"/>
        <v>31</v>
      </c>
      <c r="AG20" s="953">
        <f t="shared" si="5"/>
        <v>0</v>
      </c>
      <c r="AH20" s="953">
        <f t="shared" si="5"/>
        <v>0</v>
      </c>
      <c r="AI20" s="953">
        <f t="shared" si="5"/>
        <v>0</v>
      </c>
      <c r="AJ20" s="954">
        <f t="shared" si="5"/>
        <v>0</v>
      </c>
      <c r="AK20" s="954">
        <f t="shared" si="5"/>
        <v>0</v>
      </c>
      <c r="AL20" s="946">
        <f t="shared" si="5"/>
        <v>5</v>
      </c>
      <c r="AM20" s="946">
        <f t="shared" si="5"/>
        <v>0</v>
      </c>
      <c r="AN20" s="946">
        <f t="shared" si="5"/>
        <v>0</v>
      </c>
      <c r="AO20" s="946">
        <f t="shared" si="5"/>
        <v>0</v>
      </c>
      <c r="AP20" s="946">
        <f>IF(ISNUMBER(((Datos!L20/Datos!K20)*11)/factor_trimestre),((Datos!L20/Datos!K20)*11)/factor_trimestre," - ")</f>
        <v>9.8442554956449602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-0.1388888888888889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2.3231170524942942E-2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20.784609690826528</v>
      </c>
      <c r="G22" s="734">
        <f>IF(ISNUMBER(STDEV(G8:G19)),STDEV(G8:G19),"-")</f>
        <v>20.784609690826528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2.8867513459481287</v>
      </c>
      <c r="AM22" s="733"/>
      <c r="AN22" s="733">
        <f>IF(ISNUMBER(STDEV(AN8:AN19)),STDEV(AN8:AN19),"-")</f>
        <v>0</v>
      </c>
      <c r="AO22" s="739">
        <f>IF(ISNUMBER(STDEV(AO8:AO19)),STDEV(AO8:AO19),"-")</f>
        <v>0</v>
      </c>
      <c r="AP22" s="776">
        <f>IF(ISNUMBER(STDEV(AP8:AP19)),STDEV(AP8:AP19),"-")</f>
        <v>7.3130701597726615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jH03dqadVLqEHSm2LSi0ZuoXTYEn7NjL6O+HtdZpARZrGdUX8fU4MQJ+QqyvKBp6xQ6T6WvcmfR/t9W/CBxsg==" saltValue="J6lf5zOBBEXy28w8lTf7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LAS PALMAS  Resumenes por Partidos Judiciales  TELDE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171</v>
      </c>
      <c r="O9" s="333"/>
      <c r="P9" s="333"/>
      <c r="Q9" s="225">
        <f>IF(ISNUMBER(Datos!P9),Datos!P9,0)</f>
        <v>428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112</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418</v>
      </c>
      <c r="AI9" s="224" t="str">
        <f>IF(ISNUMBER(Datos!CD9),Datos!CD9,"-")</f>
        <v>-</v>
      </c>
      <c r="AJ9" s="1214" t="str">
        <f>IF(ISNUMBER(Datos!EN9),Datos!EN9," - ")</f>
        <v xml:space="preserve"> - </v>
      </c>
      <c r="AK9" s="333"/>
      <c r="AL9" s="478"/>
      <c r="AM9" s="1214">
        <f>IF(ISNUMBER(Datos!R9),Datos!R9," - ")</f>
        <v>11989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854</v>
      </c>
      <c r="BD9" s="228">
        <f>IF(ISNUMBER(Datos!N9),Datos!N9," - ")</f>
        <v>1360</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0.92659644502962479</v>
      </c>
      <c r="BH9" s="1214">
        <f>IF(ISNUMBER(((IF(J_V="SI",Datos!L9/Datos!K9,(Datos!L9+Datos!AB9)/(Datos!K9+Datos!AA9)))*11)/factor_trimestre),((IF(J_V="SI",Datos!L9/Datos!K9,(Datos!L9+Datos!AB9)/(Datos!K9+Datos!AA9)))*11)/factor_trimestre," - ")</f>
        <v>13.903374777975133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2.7071018589908336E-2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697.28210429110868</v>
      </c>
      <c r="CF9" s="228">
        <f ca="1">AVERAGEIFS($AB:$AB,$BW:$BW,BW9,$BX:$BX,BX9)</f>
        <v>697.28210429110868</v>
      </c>
      <c r="CG9" s="1191">
        <v>0.7</v>
      </c>
      <c r="CH9" s="1191">
        <f ca="1">AVERAGEIF($BW:$BW,$BW9,$AC:$AC)</f>
        <v>51</v>
      </c>
      <c r="CI9" s="228">
        <f ca="1">AVERAGEIFS($AC:$AC,$BW:$BW,$BW9,$BX:$BX,$BX9)</f>
        <v>51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958.5</v>
      </c>
      <c r="CR9" s="228">
        <f ca="1">AVERAGEIFS($AF:$AF,$BW:$BW,BW9,$BX:$BX,BX9)</f>
        <v>958.5</v>
      </c>
      <c r="CS9" s="1191">
        <v>1.3</v>
      </c>
      <c r="CT9" s="1191">
        <v>1.5</v>
      </c>
      <c r="CU9" s="1191">
        <f ca="1">AVERAGEIF($BW:$BW,$BW9,$AH:$AH)</f>
        <v>179.14285714285714</v>
      </c>
      <c r="CV9" s="228">
        <f ca="1">AVERAGEIFS($AH:$AH,$BW:$BW,$BW9,$BX:$BX,$BX9)</f>
        <v>179.14285714285714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3423.5454545454545</v>
      </c>
      <c r="DH9" s="1218">
        <f ca="1">AVERAGEIFS($AM:$AM,$BW:$BW,$BW9,$BX:$BX,$BX9)</f>
        <v>3423.5454545454545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9.3049933724804195</v>
      </c>
      <c r="ER9" s="1218">
        <f ca="1">AVERAGEIFS($BH:$BH,$BW:$BW,$BW9,$BX:$BX,$BX9)</f>
        <v>9.3049933724804195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36</v>
      </c>
      <c r="G10" s="332">
        <f>IF(ISNUMBER(Datos!I10),Datos!I10," - ")</f>
        <v>36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31</v>
      </c>
      <c r="AG10" s="333"/>
      <c r="AH10" s="224"/>
      <c r="AI10" s="224"/>
      <c r="AJ10" s="1214"/>
      <c r="AK10" s="333"/>
      <c r="AL10" s="478"/>
      <c r="AM10" s="1214">
        <f>IF(ISNUMBER(Datos!R10),Datos!R10," - ")</f>
        <v>95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18.600000000000001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697.28210429110868</v>
      </c>
      <c r="CF10" s="228">
        <f ca="1">AVERAGEIFS($AB:$AB,$BW:$BW,BW10,$BX:$BX,BX10)</f>
        <v>697.28210429110868</v>
      </c>
      <c r="CG10" s="1191">
        <v>0.7</v>
      </c>
      <c r="CH10" s="1191">
        <f ca="1">AVERAGEIF($BW:$BW,BW10,$AC:$AC)</f>
        <v>51</v>
      </c>
      <c r="CI10" s="228">
        <f ca="1">AVERAGEIFS($AC:$AC,$BW:$BW,BW10,$BX:$BX,BX10)</f>
        <v>51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958.5</v>
      </c>
      <c r="CR10" s="228">
        <f ca="1">AVERAGEIFS($AF:$AF,$BW:$BW,BW10,$BX:$BX,BX10)</f>
        <v>958.5</v>
      </c>
      <c r="CS10" s="1191">
        <v>1.3</v>
      </c>
      <c r="CT10" s="1191">
        <v>1.5</v>
      </c>
      <c r="CU10" s="1191">
        <f ca="1">AVERAGEIF($BW:$BW,$BW10,$AH:$AH)</f>
        <v>179.14285714285714</v>
      </c>
      <c r="CV10" s="228">
        <f ca="1">AVERAGEIFS($AH:$AH,$BW:$BW,$BW10,$BX:$BX,$BX10)</f>
        <v>179.14285714285714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3423.5454545454545</v>
      </c>
      <c r="DH10" s="1218">
        <f ca="1">AVERAGEIFS($AM:$AM,$BW:$BW,$BW10,$BX:$BX,$BX10)</f>
        <v>3423.5454545454545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9.3049933724804195</v>
      </c>
      <c r="ER10" s="1218">
        <f ca="1">AVERAGEIFS($BH:$BH,$BW:$BW,$BW10,$BX:$BX,$BX10)</f>
        <v>9.3049933724804195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697.28210429110868</v>
      </c>
      <c r="CF11" s="228">
        <f ca="1">AVERAGEIFS($AB:$AB,$BW:$BW,BW11,$BX:$BX,BX11)</f>
        <v>697.28210429110868</v>
      </c>
      <c r="CG11" s="1191">
        <v>0.7</v>
      </c>
      <c r="CH11" s="1191">
        <f ca="1">AVERAGEIF($BW:$BW,BW11,$AC:$AC)</f>
        <v>51</v>
      </c>
      <c r="CI11" s="228">
        <f ca="1">AVERAGEIFS($AC:$AC,$BW:$BW,BW11,$BX:$BX,BX11)</f>
        <v>51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958.5</v>
      </c>
      <c r="CR11" s="228">
        <f ca="1">AVERAGEIFS($AF:$AF,$BW:$BW,BW11,$BX:$BX,BX11)</f>
        <v>958.5</v>
      </c>
      <c r="CS11" s="1191">
        <v>1.3</v>
      </c>
      <c r="CT11" s="1191">
        <v>1.5</v>
      </c>
      <c r="CU11" s="1191">
        <f ca="1">AVERAGEIF($BW:$BW,$BW11,$AH:$AH)</f>
        <v>179.14285714285714</v>
      </c>
      <c r="CV11" s="228">
        <f ca="1">AVERAGEIFS($AH:$AH,$BW:$BW,$BW11,$BX:$BX,$BX11)</f>
        <v>179.14285714285714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3423.5454545454545</v>
      </c>
      <c r="DH11" s="1218">
        <f ca="1">AVERAGEIFS($AM:$AM,$BW:$BW,$BW11,$BX:$BX,$BX11)</f>
        <v>3423.5454545454545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9.3049933724804195</v>
      </c>
      <c r="ER11" s="1218">
        <f ca="1">AVERAGEIFS($BH:$BH,$BW:$BW,$BW11,$BX:$BX,$BX11)</f>
        <v>9.3049933724804195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697.28210429110868</v>
      </c>
      <c r="CF12" s="228">
        <f ca="1">AVERAGEIFS($AB:$AB,$BW:$BW,BW12,$BX:$BX,BX12)</f>
        <v>697.28210429110868</v>
      </c>
      <c r="CG12" s="1191">
        <v>0.7</v>
      </c>
      <c r="CH12" s="1191">
        <f ca="1">AVERAGEIF($BW:$BW,BW12,$AC:$AC)</f>
        <v>51</v>
      </c>
      <c r="CI12" s="228">
        <f ca="1">AVERAGEIFS($AC:$AC,$BW:$BW,BW12,$BX:$BX,BX12)</f>
        <v>51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958.5</v>
      </c>
      <c r="CR12" s="228">
        <f ca="1">AVERAGEIFS($AF:$AF,$BW:$BW,BW12,$BX:$BX,BX12)</f>
        <v>958.5</v>
      </c>
      <c r="CS12" s="1191">
        <v>1.3</v>
      </c>
      <c r="CT12" s="1191">
        <v>1.5</v>
      </c>
      <c r="CU12" s="1191">
        <f ca="1">AVERAGEIF($BW:$BW,$BW12,$AH:$AH)</f>
        <v>179.14285714285714</v>
      </c>
      <c r="CV12" s="228">
        <f ca="1">AVERAGEIFS($AH:$AH,$BW:$BW,$BW12,$BX:$BX,$BX12)</f>
        <v>179.14285714285714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3423.5454545454545</v>
      </c>
      <c r="DH12" s="1218">
        <f ca="1">AVERAGEIFS($AM:$AM,$BW:$BW,$BW12,$BX:$BX,$BX12)</f>
        <v>3423.5454545454545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9.3049933724804195</v>
      </c>
      <c r="ER12" s="1218">
        <f ca="1">AVERAGEIFS($BH:$BH,$BW:$BW,$BW12,$BX:$BX,$BX12)</f>
        <v>9.3049933724804195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36</v>
      </c>
      <c r="G13" s="895">
        <f t="shared" si="1"/>
        <v>36</v>
      </c>
      <c r="H13" s="896">
        <f t="shared" si="1"/>
        <v>0</v>
      </c>
      <c r="I13" s="895">
        <f t="shared" si="1"/>
        <v>0</v>
      </c>
      <c r="J13" s="864">
        <f t="shared" si="1"/>
        <v>0</v>
      </c>
      <c r="K13" s="864">
        <f t="shared" si="1"/>
        <v>0</v>
      </c>
      <c r="L13" s="896">
        <f t="shared" si="1"/>
        <v>0</v>
      </c>
      <c r="M13" s="896">
        <f t="shared" si="1"/>
        <v>0</v>
      </c>
      <c r="N13" s="896">
        <f t="shared" si="1"/>
        <v>171</v>
      </c>
      <c r="O13" s="897">
        <f t="shared" si="1"/>
        <v>0</v>
      </c>
      <c r="P13" s="897">
        <f t="shared" si="1"/>
        <v>0</v>
      </c>
      <c r="Q13" s="896">
        <f t="shared" si="1"/>
        <v>428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112</v>
      </c>
      <c r="AD13" s="896">
        <f t="shared" si="2"/>
        <v>0</v>
      </c>
      <c r="AE13" s="896">
        <f t="shared" si="2"/>
        <v>0</v>
      </c>
      <c r="AF13" s="896">
        <f t="shared" si="2"/>
        <v>31</v>
      </c>
      <c r="AG13" s="896">
        <f t="shared" si="2"/>
        <v>0</v>
      </c>
      <c r="AH13" s="896">
        <f t="shared" si="2"/>
        <v>418</v>
      </c>
      <c r="AI13" s="896">
        <f t="shared" si="2"/>
        <v>0</v>
      </c>
      <c r="AJ13" s="896">
        <f t="shared" si="2"/>
        <v>0</v>
      </c>
      <c r="AK13" s="896">
        <f t="shared" si="2"/>
        <v>0</v>
      </c>
      <c r="AL13" s="896">
        <f t="shared" si="2"/>
        <v>0</v>
      </c>
      <c r="AM13" s="896">
        <f t="shared" si="2"/>
        <v>12084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859</v>
      </c>
      <c r="BD13" s="896">
        <f t="shared" si="2"/>
        <v>1360</v>
      </c>
      <c r="BE13" s="896">
        <f t="shared" si="2"/>
        <v>0</v>
      </c>
      <c r="BF13" s="896">
        <f t="shared" si="2"/>
        <v>0</v>
      </c>
      <c r="BG13" s="896">
        <f>IF(ISNUMBER(Datos!K13/Datos!J13),Datos!K13/Datos!J13," - ")</f>
        <v>0.92221834670387159</v>
      </c>
      <c r="BH13" s="900">
        <f>IF(ISNUMBER(((Datos!L13/Datos!K13)*11)/factor_trimestre),((Datos!L13/Datos!K13)*11)/factor_trimestre," - ")</f>
        <v>14.363464447806356</v>
      </c>
      <c r="BI13" s="896">
        <f>IF(ISNUMBER('Resol  Asuntos'!D13/NºAsuntos!G13),'Resol  Asuntos'!D13/NºAsuntos!G13," - ")</f>
        <v>0.30460992907801421</v>
      </c>
      <c r="BJ13" s="896" t="str">
        <f>IF(ISNUMBER(Datos!CI13/Datos!CJ13),Datos!CI13/Datos!CJ13," - ")</f>
        <v xml:space="preserve"> - </v>
      </c>
      <c r="BK13" s="896">
        <f>SUBTOTAL(9,BK8:BK12)</f>
        <v>0</v>
      </c>
      <c r="BL13" s="896">
        <f>IF(ISNUMBER((I13-AB13+L13)/(F13)),(I13-AB13+L13)/(F13)," - ")</f>
        <v>-0.1388888888888889</v>
      </c>
      <c r="BM13" s="901">
        <f>SUBTOTAL(9,BM9:BM12)</f>
        <v>2.7071018589908336E-2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3216</v>
      </c>
      <c r="G15" s="596">
        <f>IF(ISNUMBER(IF(D_I="SI",Datos!I15,Datos!I15+Datos!AC15)),IF(D_I="SI",Datos!I15,Datos!I15+Datos!AC15)," - ")</f>
        <v>3216</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44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2172</v>
      </c>
      <c r="AC15" s="224">
        <f>IF(ISNUMBER(Datos!Q15),Datos!Q15," - ")</f>
        <v>75</v>
      </c>
      <c r="AD15" s="224"/>
      <c r="AE15" s="224"/>
      <c r="AF15" s="224">
        <f>IF(ISNUMBER(IF(D_I="SI",Datos!L15,Datos!L15+Datos!AF15)),IF(D_I="SI",Datos!L15,Datos!L15+Datos!AF15)," - ")</f>
        <v>3107</v>
      </c>
      <c r="AG15" s="333"/>
      <c r="AH15" s="224"/>
      <c r="AI15" s="224"/>
      <c r="AJ15" s="1214"/>
      <c r="AK15" s="333"/>
      <c r="AL15" s="478"/>
      <c r="AM15" s="1214">
        <f>IF(ISNUMBER(Datos!R15),Datos!R15," - ")</f>
        <v>469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280</v>
      </c>
      <c r="BD15" s="228">
        <f>IF(ISNUMBER(Datos!N15),Datos!N15," - ")</f>
        <v>1433</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1.0528356761997091</v>
      </c>
      <c r="BH15" s="1214">
        <f>IF(ISNUMBER(((IF(D_I="SI",Datos!L15/Datos!K15,(Datos!L15+Datos!AF15)/(Datos!K15+Datos!AE15)))*11)/factor_trimestre),((IF(D_I="SI",Datos!L15/Datos!K15,(Datos!L15+Datos!AF15)/(Datos!K15+Datos!AE15)))*11)/factor_trimestre," - ")</f>
        <v>4.291436464088398</v>
      </c>
      <c r="BI15" s="242">
        <f>IF(ISNUMBER('Resol  Asuntos'!D15/NºAsuntos!G15),'Resol  Asuntos'!D15/NºAsuntos!G15," - ")</f>
        <v>0.12891344383057091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697.28210429110868</v>
      </c>
      <c r="CF15" s="228">
        <f ca="1">AVERAGEIFS($AB:$AB,$BW:$BW,BW15,$BX:$BX,BX15)</f>
        <v>697.28210429110868</v>
      </c>
      <c r="CG15" s="1191">
        <v>0.7</v>
      </c>
      <c r="CH15" s="1191">
        <f ca="1">AVERAGEIF($BW:$BW,BW15,$AC:$AC)</f>
        <v>51</v>
      </c>
      <c r="CI15" s="228">
        <f ca="1">AVERAGEIFS($AC:$AC,$BW:$BW,BW15,$BX:$BX,BX15)</f>
        <v>51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958.5</v>
      </c>
      <c r="CR15" s="228">
        <f ca="1">AVERAGEIFS($AF:$AF,$BW:$BW,BW15,$BX:$BX,BX15)</f>
        <v>958.5</v>
      </c>
      <c r="CS15" s="1191">
        <v>1.3</v>
      </c>
      <c r="CT15" s="1191">
        <v>1.5</v>
      </c>
      <c r="CU15" s="1191">
        <f ca="1">AVERAGEIF($BW:$BW,$BW15,$AH:$AH)</f>
        <v>179.14285714285714</v>
      </c>
      <c r="CV15" s="228">
        <f ca="1">AVERAGEIFS($AH:$AH,$BW:$BW,$BW15,$BX:$BX,$BX15)</f>
        <v>179.14285714285714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3423.5454545454545</v>
      </c>
      <c r="DH15" s="1218">
        <f ca="1">AVERAGEIFS($AM:$AM,$BW:$BW,$BW15,$BX:$BX,$BX15)</f>
        <v>3423.5454545454545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9.3049933724804195</v>
      </c>
      <c r="ER15" s="1218">
        <f ca="1">AVERAGEIFS($BH:$BH,$BW:$BW,$BW15,$BX:$BX,$BX15)</f>
        <v>9.3049933724804195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697.28210429110868</v>
      </c>
      <c r="CF16" s="1218">
        <f ca="1">AVERAGEIFS($AB:$AB,$BW:$BW,BW16,$BX:$BX,BX16)</f>
        <v>697.28210429110868</v>
      </c>
      <c r="CG16" s="1191">
        <v>0.7</v>
      </c>
      <c r="CH16" s="1191">
        <f ca="1">AVERAGEIF($BW:$BW,BW16,$AC:$AC)</f>
        <v>51</v>
      </c>
      <c r="CI16" s="1218">
        <f ca="1">AVERAGEIFS($AC:$AC,$BW:$BW,BW16,$BX:$BX,BX16)</f>
        <v>51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958.5</v>
      </c>
      <c r="CR16" s="1218">
        <f ca="1">AVERAGEIFS($AF:$AF,$BW:$BW,BW16,$BX:$BX,BX16)</f>
        <v>958.5</v>
      </c>
      <c r="CS16" s="1191">
        <v>1.3</v>
      </c>
      <c r="CT16" s="1191">
        <v>1.5</v>
      </c>
      <c r="CU16" s="1191">
        <f ca="1">AVERAGEIF($BW:$BW,$BW16,$AH:$AH)</f>
        <v>179.14285714285714</v>
      </c>
      <c r="CV16" s="1218">
        <f ca="1">AVERAGEIFS($AH:$AH,$BW:$BW,$BW16,$BX:$BX,$BX16)</f>
        <v>179.14285714285714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3423.5454545454545</v>
      </c>
      <c r="DH16" s="1218">
        <f ca="1">AVERAGEIFS($AM:$AM,$BW:$BW,$BW16,$BX:$BX,$BX16)</f>
        <v>3423.5454545454545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9.3049933724804195</v>
      </c>
      <c r="ER16" s="1218">
        <f ca="1">AVERAGEIFS($BH:$BH,$BW:$BW,$BW16,$BX:$BX,$BX16)</f>
        <v>9.3049933724804195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1</v>
      </c>
      <c r="G17" s="596">
        <f>IF(ISNUMBER(IF(D_I="SI",Datos!I17,Datos!I17+Datos!AC17)),IF(D_I="SI",Datos!I17,Datos!I17+Datos!AC17)," - ")</f>
        <v>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0</v>
      </c>
      <c r="AC17" s="224">
        <f>IF(ISNUMBER(Datos!Q17),Datos!Q17," - ")</f>
        <v>0</v>
      </c>
      <c r="AD17" s="224"/>
      <c r="AE17" s="224"/>
      <c r="AF17" s="224">
        <f>IF(ISNUMBER(IF(D_I="SI",Datos!L17,Datos!L17+Datos!AF17)),IF(D_I="SI",Datos!L17,Datos!L17+Datos!AF17)," - ")</f>
        <v>1</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0</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697.28210429110868</v>
      </c>
      <c r="CF17" s="228">
        <f ca="1">AVERAGEIFS($AB:$AB,$BW:$BW,BW17,$BX:$BX,BX17)</f>
        <v>697.28210429110868</v>
      </c>
      <c r="CG17" s="1191">
        <v>0.7</v>
      </c>
      <c r="CH17" s="1191">
        <f ca="1">AVERAGEIF($BW:$BW,BW17,$AC:$AC)</f>
        <v>51</v>
      </c>
      <c r="CI17" s="228">
        <f ca="1">AVERAGEIFS($AC:$AC,$BW:$BW,BW17,$BX:$BX,BX17)</f>
        <v>51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958.5</v>
      </c>
      <c r="CR17" s="228">
        <f ca="1">AVERAGEIFS($AF:$AF,$BW:$BW,BW17,$BX:$BX,BX17)</f>
        <v>958.5</v>
      </c>
      <c r="CS17" s="1191">
        <v>1.3</v>
      </c>
      <c r="CT17" s="1191">
        <v>1.5</v>
      </c>
      <c r="CU17" s="1191">
        <f ca="1">AVERAGEIF($BW:$BW,$BW17,$AH:$AH)</f>
        <v>179.14285714285714</v>
      </c>
      <c r="CV17" s="228">
        <f ca="1">AVERAGEIFS($AH:$AH,$BW:$BW,$BW17,$BX:$BX,$BX17)</f>
        <v>179.14285714285714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3423.5454545454545</v>
      </c>
      <c r="DH17" s="1218">
        <f ca="1">AVERAGEIFS($AM:$AM,$BW:$BW,$BW17,$BX:$BX,$BX17)</f>
        <v>3423.5454545454545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9.3049933724804195</v>
      </c>
      <c r="ER17" s="1218">
        <f ca="1">AVERAGEIFS($BH:$BH,$BW:$BW,$BW17,$BX:$BX,$BX17)</f>
        <v>9.3049933724804195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v>
      </c>
      <c r="AC18" s="224">
        <f>IF(ISNUMBER(Datos!Q18),Datos!Q18," - ")</f>
        <v>0</v>
      </c>
      <c r="AD18" s="224"/>
      <c r="AE18" s="224"/>
      <c r="AF18" s="224">
        <f>IF(ISNUMBER(Datos!L18),Datos!L18,"-")</f>
        <v>56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28.000000000000004</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697.28210429110868</v>
      </c>
      <c r="CF18" s="228">
        <f ca="1">AVERAGEIFS($AB:$AB,$BW:$BW,BW18,$BX:$BX,BX18)</f>
        <v>697.28210429110868</v>
      </c>
      <c r="CG18" s="1191">
        <v>0.7</v>
      </c>
      <c r="CH18" s="1191">
        <f ca="1">AVERAGEIF($BW:$BW,BW18,$AC:$AC)</f>
        <v>51</v>
      </c>
      <c r="CI18" s="228">
        <f ca="1">AVERAGEIFS($AC:$AC,$BW:$BW,BW18,$BX:$BX,BX18)</f>
        <v>51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958.5</v>
      </c>
      <c r="CR18" s="228">
        <f ca="1">AVERAGEIFS($AF:$AF,$BW:$BW,BW18,$BX:$BX,BX18)</f>
        <v>958.5</v>
      </c>
      <c r="CS18" s="1191">
        <v>1.3</v>
      </c>
      <c r="CT18" s="1191">
        <v>1.5</v>
      </c>
      <c r="CU18" s="1191">
        <f ca="1">AVERAGEIF($BW:$BW,$BW18,$AH:$AH)</f>
        <v>179.14285714285714</v>
      </c>
      <c r="CV18" s="228">
        <f ca="1">AVERAGEIFS($AH:$AH,$BW:$BW,$BW18,$BX:$BX,$BX18)</f>
        <v>179.14285714285714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3423.5454545454545</v>
      </c>
      <c r="DH18" s="1218">
        <f ca="1">AVERAGEIFS($AM:$AM,$BW:$BW,$BW18,$BX:$BX,$BX18)</f>
        <v>3423.5454545454545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9.3049933724804195</v>
      </c>
      <c r="ER18" s="1218">
        <f ca="1">AVERAGEIFS($BH:$BH,$BW:$BW,$BW18,$BX:$BX,$BX18)</f>
        <v>9.3049933724804195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3217</v>
      </c>
      <c r="G19" s="895">
        <f>SUBTOTAL(9,G15:G18)</f>
        <v>3279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2178</v>
      </c>
      <c r="AC19" s="896">
        <f t="shared" si="5"/>
        <v>75</v>
      </c>
      <c r="AD19" s="896">
        <f t="shared" si="5"/>
        <v>0</v>
      </c>
      <c r="AE19" s="896">
        <f t="shared" si="5"/>
        <v>0</v>
      </c>
      <c r="AF19" s="896">
        <f t="shared" si="5"/>
        <v>3164</v>
      </c>
      <c r="AG19" s="896">
        <f t="shared" si="5"/>
        <v>0</v>
      </c>
      <c r="AH19" s="896">
        <f t="shared" si="5"/>
        <v>0</v>
      </c>
      <c r="AI19" s="896">
        <f t="shared" si="5"/>
        <v>0</v>
      </c>
      <c r="AJ19" s="896">
        <f t="shared" si="5"/>
        <v>0</v>
      </c>
      <c r="AK19" s="896">
        <f t="shared" si="5"/>
        <v>0</v>
      </c>
      <c r="AL19" s="896">
        <f t="shared" si="5"/>
        <v>0</v>
      </c>
      <c r="AM19" s="896">
        <f t="shared" si="5"/>
        <v>469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280</v>
      </c>
      <c r="BD19" s="896">
        <f t="shared" si="5"/>
        <v>1435</v>
      </c>
      <c r="BE19" s="896">
        <f t="shared" si="5"/>
        <v>0</v>
      </c>
      <c r="BF19" s="896">
        <f t="shared" si="5"/>
        <v>0</v>
      </c>
      <c r="BG19" s="896">
        <f>IF(ISNUMBER(Datos!K19/Datos!J19),Datos!K19/Datos!J19," - ")</f>
        <v>1.0557440620455647</v>
      </c>
      <c r="BH19" s="900">
        <f>IF(ISNUMBER(((Datos!L19/Datos!K19)*11)/factor_trimestre),((Datos!L19/Datos!K19)*11)/factor_trimestre," - ")</f>
        <v>4.3581267217630852</v>
      </c>
      <c r="BI19" s="896">
        <f>SUBTOTAL(9,BI15:BI18)</f>
        <v>0.12891344383057091</v>
      </c>
      <c r="BJ19" s="896">
        <f>SUBTOTAL(9,BJ15:BJ18)</f>
        <v>0</v>
      </c>
      <c r="BK19" s="896">
        <f>SUBTOTAL(9,BK15:BK18)</f>
        <v>0</v>
      </c>
      <c r="BL19" s="896">
        <f>IF(ISNUMBER((I19-AB19+L19)/(F19)),(I19-AB19+L19)/(F19)," - ")</f>
        <v>-0.67702828722412189</v>
      </c>
      <c r="BM19" s="902">
        <f>IF(ISNUMBER((Datos!P19-Datos!Q19)/(Datos!R19-Datos!P19+Datos!Q19)),(Datos!P19-Datos!Q19)/(Datos!R19-Datos!P19+Datos!Q19)," - ")</f>
        <v>-6.2E-2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9</v>
      </c>
      <c r="F20" s="817">
        <f t="shared" si="7"/>
        <v>3253</v>
      </c>
      <c r="G20" s="817">
        <f t="shared" si="7"/>
        <v>3315</v>
      </c>
      <c r="H20" s="819">
        <f t="shared" si="7"/>
        <v>0</v>
      </c>
      <c r="I20" s="817">
        <f t="shared" si="7"/>
        <v>0</v>
      </c>
      <c r="J20" s="819">
        <f t="shared" si="7"/>
        <v>0</v>
      </c>
      <c r="K20" s="819">
        <f t="shared" si="7"/>
        <v>0</v>
      </c>
      <c r="L20" s="878">
        <f t="shared" si="7"/>
        <v>0</v>
      </c>
      <c r="M20" s="878">
        <f t="shared" si="7"/>
        <v>0</v>
      </c>
      <c r="N20" s="878">
        <f t="shared" si="7"/>
        <v>171</v>
      </c>
      <c r="O20" s="878">
        <f t="shared" si="7"/>
        <v>0</v>
      </c>
      <c r="P20" s="878">
        <f t="shared" si="7"/>
        <v>0</v>
      </c>
      <c r="Q20" s="819">
        <f t="shared" si="7"/>
        <v>472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2183</v>
      </c>
      <c r="AC20" s="818">
        <f t="shared" si="8"/>
        <v>187</v>
      </c>
      <c r="AD20" s="818">
        <f t="shared" si="8"/>
        <v>0</v>
      </c>
      <c r="AE20" s="818">
        <f t="shared" si="8"/>
        <v>0</v>
      </c>
      <c r="AF20" s="825">
        <f t="shared" si="8"/>
        <v>3195</v>
      </c>
      <c r="AG20" s="825">
        <f t="shared" si="8"/>
        <v>0</v>
      </c>
      <c r="AH20" s="825">
        <f t="shared" si="8"/>
        <v>418</v>
      </c>
      <c r="AI20" s="825">
        <f t="shared" si="8"/>
        <v>0</v>
      </c>
      <c r="AJ20" s="818">
        <f t="shared" si="8"/>
        <v>0</v>
      </c>
      <c r="AK20" s="825">
        <f t="shared" si="8"/>
        <v>0</v>
      </c>
      <c r="AL20" s="825">
        <f t="shared" si="8"/>
        <v>0</v>
      </c>
      <c r="AM20" s="825">
        <f t="shared" si="8"/>
        <v>12553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1139</v>
      </c>
      <c r="BD20" s="817">
        <f t="shared" si="8"/>
        <v>2795</v>
      </c>
      <c r="BE20" s="817">
        <f t="shared" si="8"/>
        <v>0</v>
      </c>
      <c r="BF20" s="827">
        <f t="shared" si="8"/>
        <v>0</v>
      </c>
      <c r="BG20" s="912">
        <f>IF(ISNUMBER(Datos!K20/Datos!J20),Datos!K20/Datos!J20," - ")</f>
        <v>0.97809330628803248</v>
      </c>
      <c r="BH20" s="912">
        <f>IF(ISNUMBER(((Datos!L20/Datos!K20)*11)/factor_trimestre),((Datos!L20/Datos!K20)*11)/factor_trimestre," - ")</f>
        <v>9.8442554956449602</v>
      </c>
      <c r="BI20" s="810">
        <f>IF(ISNUMBER(Datos!J20/Datos!I20),Datos!J20/Datos!I20," - ")</f>
        <v>0.3137130130448616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-0.671072855825392</v>
      </c>
      <c r="BM20" s="886">
        <f>IF(ISNUMBER((Datos!P20-Datos!Q20+R20)/(Datos!R20-Datos!P20+Datos!Q20-R20)),(Datos!P20-Datos!Q20+R20)/(Datos!R20-Datos!P20+Datos!Q20-R20)," - ")</f>
        <v>2.3231170524942942E-2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2.5298221281347035</v>
      </c>
      <c r="F22" s="550">
        <f>IF(ISNUMBER(STDEV(F8:F19)),STDEV(F8:F19),"-")</f>
        <v>1748.4801114110508</v>
      </c>
      <c r="G22" s="551">
        <f>IF(ISNUMBER(STDEV(G8:G19)),STDEV(G8:G19),"-")</f>
        <v>1659.8062537537326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1121.103147202195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383.55697410026636</v>
      </c>
      <c r="BD22" s="550"/>
      <c r="BE22" s="550">
        <f>IF(ISNUMBER(STDEV(BE8:BE19)),STDEV(BE8:BE19),"-")</f>
        <v>0</v>
      </c>
      <c r="BF22" s="555">
        <f>IF(ISNUMBER(STDEV(BF8:BF19)),STDEV(BF8:BF19),"-")</f>
        <v>0</v>
      </c>
      <c r="BG22" s="772">
        <f>IF(ISNUMBER(STDEV(BG8:BG19)),STDEV(BG8:BG19),"-")</f>
        <v>7.5018375717010852E-2</v>
      </c>
      <c r="BH22" s="773">
        <f>IF(ISNUMBER(STDEV(BH8:BH19)),STDEV(BH8:BH19),"-")</f>
        <v>8.9942691900066727</v>
      </c>
      <c r="BI22" s="248">
        <f>IF(ISNUMBER(STDEV(BI8:BI19)),STDEV(BI8:BI19),"-")</f>
        <v>0.12508765951325176</v>
      </c>
      <c r="BJ22" s="1415" t="str">
        <f>IF(ISNUMBER(BL22/BM22),BL22/BM22," - ")</f>
        <v xml:space="preserve"> - </v>
      </c>
      <c r="BK22" s="574"/>
      <c r="BL22" s="558">
        <f>IF(ISNUMBER(STDEV(BL8:BL19)),STDEV(BL8:BL19),"-")</f>
        <v>0.38052201778649192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gxKwhG+fCymqYeQQdTqRYmfYpSm1AhCZZs83Iw0/O955UfU0oMYREgiovelfUtLg08t6OwsI5fEO++Nnuba0g==" saltValue="3YKmtxpDCb11p52Ck0/8J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LAS PALMAS  Resumenes por Partidos Judiciales  TELDE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0.30460992907801421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0.21539174646781717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djlfXDma/3gp+TXrNfdd0jWYxdWB/otPou5hb2Qwl1HGOUzGTVrtUhT9f7+RlgLMPgz5Ph/OMk9DNBkpqnVdA==" saltValue="yfZhFFtz745v2Yu7LCuJ8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LAS PALMAS</v>
      </c>
      <c r="C4" s="1461" t="str">
        <f>IF(Criterios!B11=0,"",Criterios!B11)</f>
        <v>TELDE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7aTOXVLiUneStmNfEGR36ussBuKSMO8f33EIRAd4lrTeW/e9AOJvH/IkTM/A0VL2zhHYgAtIOLK/2OXMRiCMaw==" saltValue="1VSAAyZ0J7SsLYBO6925D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LAS PALMAS</v>
      </c>
      <c r="C3" s="414"/>
      <c r="F3" s="374"/>
      <c r="G3" s="374"/>
      <c r="H3" s="374"/>
    </row>
    <row r="4" spans="1:16" ht="13.5" thickBot="1">
      <c r="A4" s="374"/>
      <c r="B4" s="390" t="str">
        <f>Criterios!A11 &amp;"  "&amp;Criterios!B11</f>
        <v>Resumenes por Partidos Judiciales  TELDE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Edzq9P5drxn9k0F7x9k/dxS07w0VPhY33ZVuIl/PMCyzzOd3ooI4eXkvOzf6Qb3PMTNg12xlXByc0lHcDWgLA==" saltValue="ge8Zqn8NgXzN4n5KqBeOb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TELDE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854</v>
      </c>
      <c r="E9" s="403">
        <f t="shared" ref="E9:E13" si="0">IF(ISNUMBER(D9/B9),D9/B9," - ")</f>
        <v>142.33333333333334</v>
      </c>
      <c r="F9" s="402">
        <f>IF(ISNUMBER(Datos!N9),Datos!N9," - ")</f>
        <v>1360</v>
      </c>
      <c r="G9" s="403">
        <f t="shared" ref="G9:G13" si="1">IF(ISNUMBER(F9/B9),F9/B9," - ")</f>
        <v>226.66666666666666</v>
      </c>
      <c r="H9" s="402">
        <f>IF(ISNUMBER(Datos!O9),Datos!O9," - ")</f>
        <v>642</v>
      </c>
      <c r="I9" s="403">
        <f>IF(ISNUMBER(H9/B9),H9/B9," - ")</f>
        <v>107</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6</v>
      </c>
      <c r="C13" s="848">
        <f>Datos!AR13</f>
        <v>6</v>
      </c>
      <c r="D13" s="846">
        <f>SUBTOTAL(9,D9:D12)</f>
        <v>859</v>
      </c>
      <c r="E13" s="847">
        <f t="shared" si="0"/>
        <v>143.16666666666666</v>
      </c>
      <c r="F13" s="846">
        <f>SUBTOTAL(9,F9:F12)</f>
        <v>1360</v>
      </c>
      <c r="G13" s="847">
        <f t="shared" si="1"/>
        <v>226.66666666666666</v>
      </c>
      <c r="H13" s="846">
        <f>SUBTOTAL(9,H9:H12)</f>
        <v>642</v>
      </c>
      <c r="I13" s="847">
        <f>IF(ISNUMBER(H13/B13),H13/B13," - ")</f>
        <v>107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280</v>
      </c>
      <c r="E15" s="403">
        <f t="shared" ref="E15:E19" si="3">IF(ISNUMBER(D15/B15),D15/B15," - ")</f>
        <v>93.333333333333329</v>
      </c>
      <c r="F15" s="402">
        <f>IF(ISNUMBER(Datos!N15),Datos!N15," - ")</f>
        <v>1433</v>
      </c>
      <c r="G15" s="403">
        <f t="shared" ref="G15:G19" si="4">IF(ISNUMBER(F15/B15),F15/B15," - ")</f>
        <v>477.66666666666669</v>
      </c>
      <c r="H15" s="402">
        <f>IF(ISNUMBER(Datos!O15),Datos!O15," - ")</f>
        <v>33</v>
      </c>
      <c r="I15" s="403">
        <f t="shared" ref="I15:I18" si="5">IF(ISNUMBER(H15/B15),H15/B15," - ")</f>
        <v>11</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0</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v>
      </c>
      <c r="G18" s="403">
        <f>IF(ISNUMBER(F18/B18),F18/B18," - ")</f>
        <v>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280</v>
      </c>
      <c r="E19" s="847">
        <f t="shared" si="3"/>
        <v>93.333333333333329</v>
      </c>
      <c r="F19" s="846">
        <f>SUBTOTAL(9,F15:F18)</f>
        <v>1435</v>
      </c>
      <c r="G19" s="847">
        <f t="shared" si="4"/>
        <v>478.33333333333331</v>
      </c>
      <c r="H19" s="846">
        <f>SUBTOTAL(9,H15:H18)</f>
        <v>33</v>
      </c>
      <c r="I19" s="847">
        <f>IF(ISNUMBER(H19/B19),H19/B19," - ")</f>
        <v>11</v>
      </c>
      <c r="BZ19" s="1181"/>
    </row>
    <row r="20" spans="1:78" ht="14.25" thickTop="1" thickBot="1">
      <c r="A20" s="790" t="str">
        <f>Datos!A20</f>
        <v>TOTAL JURISDICCIONES</v>
      </c>
      <c r="B20" s="791">
        <f>Datos!AP20</f>
        <v>9</v>
      </c>
      <c r="C20" s="791">
        <f>Datos!AR20</f>
        <v>9</v>
      </c>
      <c r="D20" s="791">
        <f>SUBTOTAL(9,D8:D19)</f>
        <v>1139</v>
      </c>
      <c r="E20" s="792">
        <f>IF(ISNUMBER(D20/B20),D20/B20," - ")</f>
        <v>126.55555555555556</v>
      </c>
      <c r="F20" s="791">
        <f>SUBTOTAL(9,F8:F19)</f>
        <v>2795</v>
      </c>
      <c r="G20" s="792">
        <f>IF(ISNUMBER(F20/B20),F20/B20," - ")</f>
        <v>310.55555555555554</v>
      </c>
      <c r="H20" s="791">
        <f>SUBTOTAL(9,H8:H19)</f>
        <v>675</v>
      </c>
      <c r="I20" s="792">
        <f>IF(ISNUMBER(H20/B20),H20/B20," - ")</f>
        <v>75</v>
      </c>
    </row>
    <row r="23" spans="1:78">
      <c r="A23" s="390" t="str">
        <f>Criterios!A4</f>
        <v>Fecha Informe: 18 jun. 2026</v>
      </c>
    </row>
    <row r="28" spans="1:78">
      <c r="A28" s="413"/>
    </row>
  </sheetData>
  <sheetProtection algorithmName="SHA-512" hashValue="9GQJ2qxYdRqfUz+Exy9Ii2uRvkG+vRkv9SVCLASrVLVVmiWzHYfjJDatcMoRM5anOjo+UiKkROtjhVaE4OFLGQ==" saltValue="ySjvBLHAJ2n2q8qRNEaY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TELDE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428</v>
      </c>
      <c r="C9" s="433">
        <f>IF(ISNUMBER(Datos!Q9),Datos!Q9," - ")</f>
        <v>112</v>
      </c>
      <c r="D9" s="407">
        <f>IF(ISNUMBER(Datos!R9),Datos!R9," - ")</f>
        <v>11989</v>
      </c>
    </row>
    <row r="10" spans="1:4">
      <c r="A10" s="401" t="str">
        <f>Datos!A10</f>
        <v>Sección De Violencia sobre la Mujer del TI</v>
      </c>
      <c r="B10" s="432">
        <f>IF(ISNUMBER(Datos!P10),Datos!P10," - ")</f>
        <v>0</v>
      </c>
      <c r="C10" s="433">
        <f>IF(ISNUMBER(Datos!Q10),Datos!Q10," - ")</f>
        <v>0</v>
      </c>
      <c r="D10" s="407">
        <f>IF(ISNUMBER(Datos!R10),Datos!R10," - ")</f>
        <v>95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428</v>
      </c>
      <c r="C13" s="850">
        <f>SUBTOTAL(9,C9:C12)</f>
        <v>112</v>
      </c>
      <c r="D13" s="848">
        <f>SUBTOTAL(9,D9:D12)</f>
        <v>12084</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44</v>
      </c>
      <c r="C15" s="433">
        <f>IF(ISNUMBER(Datos!Q15),Datos!Q15," - ")</f>
        <v>75</v>
      </c>
      <c r="D15" s="407">
        <f>IF(ISNUMBER(Datos!R15),Datos!R15," - ")</f>
        <v>469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44</v>
      </c>
      <c r="C19" s="850">
        <f>SUBTOTAL(9,C15:C18)</f>
        <v>75</v>
      </c>
      <c r="D19" s="848">
        <f>SUBTOTAL(9,D15:D18)</f>
        <v>469</v>
      </c>
    </row>
    <row r="20" spans="1:4" ht="16.5" customHeight="1" thickTop="1" thickBot="1">
      <c r="A20" s="790" t="str">
        <f>Datos!A20</f>
        <v>TOTAL JURISDICCIONES</v>
      </c>
      <c r="B20" s="795">
        <f>SUBTOTAL(9,B8:B19)</f>
        <v>472</v>
      </c>
      <c r="C20" s="796">
        <f>SUBTOTAL(9,C8:C19)</f>
        <v>187</v>
      </c>
      <c r="D20" s="797">
        <f>SUBTOTAL(9,D8:D19)</f>
        <v>12553</v>
      </c>
    </row>
    <row r="21" spans="1:4" ht="7.5" customHeight="1"/>
    <row r="22" spans="1:4" ht="6" customHeight="1"/>
    <row r="23" spans="1:4">
      <c r="A23" s="390" t="str">
        <f>Criterios!A4</f>
        <v>Fecha Informe: 18 jun. 2026</v>
      </c>
    </row>
    <row r="28" spans="1:4">
      <c r="A28" s="413"/>
    </row>
  </sheetData>
  <sheetProtection algorithmName="SHA-512" hashValue="YEGg64468kgKjRAvYULRANkWHZjUJ02cfT6fHvrSMk5Px8DzfpWCqbEDkKg/YEVpStqFiqMkWLAO+Xf6C4syXg==" saltValue="9Nyk0LlA6hgKElpO15Fk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TELDE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v>
      </c>
      <c r="C9" s="455">
        <f>IF(ISNUMBER(
   IF(J_V="SI",(Datos!J9-Datos!T9)/Datos!T9,(Datos!J9+Datos!Z9-(Datos!T9+Datos!AH9))/(Datos!T9+Datos!AH9))
     ),IF(J_V="SI",(Datos!J9-Datos!T9)/Datos!T9,(Datos!J9+Datos!Z9-(Datos!T9+Datos!AH9))/(Datos!T9+Datos!AH9))," - ")</f>
        <v>-0.50537284272224037</v>
      </c>
      <c r="D9" s="455">
        <f>IF(ISNUMBER(
   IF(J_V="SI",(Datos!K9-Datos!U9)/Datos!U9,(Datos!K9+Datos!AA9-(Datos!U9+Datos!AI9))/(Datos!U9+Datos!AI9))
     ),IF(J_V="SI",(Datos!K9-Datos!U9)/Datos!U9,(Datos!K9+Datos!AA9-(Datos!U9+Datos!AI9))/(Datos!U9+Datos!AI9))," - ")</f>
        <v>-0.43142799434457685</v>
      </c>
      <c r="E9" s="455">
        <f>IF(ISNUMBER(
   IF(J_V="SI",(Datos!L9-Datos!V9)/Datos!V9,(Datos!L9+Datos!AB9-(Datos!V9+Datos!AJ9))/(Datos!V9+Datos!AJ9))
     ),IF(J_V="SI",(Datos!L9-Datos!V9)/Datos!V9,(Datos!L9+Datos!AB9-(Datos!V9+Datos!AJ9))/(Datos!V9+Datos!AJ9))," - ")</f>
        <v>-6.907378335949764E-2</v>
      </c>
      <c r="F9" s="455">
        <f>IF(ISNUMBER((Datos!M9-Datos!W9)/Datos!W9),(Datos!M9-Datos!W9)/Datos!W9," - ")</f>
        <v>-0.39901477832512317</v>
      </c>
      <c r="G9" s="456">
        <f>IF(ISNUMBER((Datos!N9-Datos!X9)/Datos!X9),(Datos!N9-Datos!X9)/Datos!X9," - ")</f>
        <v>-0.43871234007428805</v>
      </c>
      <c r="H9" s="454">
        <f>IF(ISNUMBER(((NºAsuntos!G9/NºAsuntos!E9)-Datos!BD9)/Datos!BD9),((NºAsuntos!G9/NºAsuntos!E9)-Datos!BD9)/Datos!BD9," - ")</f>
        <v>0.14949613519934465</v>
      </c>
      <c r="I9" s="455">
        <f>IF(ISNUMBER(((NºAsuntos!I9/NºAsuntos!G9)-Datos!BE9)/Datos!BE9),((NºAsuntos!I9/NºAsuntos!G9)-Datos!BE9)/Datos!BE9," - ")</f>
        <v>0.63730575438263859</v>
      </c>
      <c r="J9" s="460">
        <f>IF(ISNUMBER((('Resol  Asuntos'!D9/NºAsuntos!G9)-Datos!BF9)/Datos!BF9),(('Resol  Asuntos'!D9/NºAsuntos!G9)-Datos!BF9)/Datos!BF9," - ")</f>
        <v>-0.38010378631659736</v>
      </c>
      <c r="K9" s="461">
        <f>IF(ISNUMBER((((NºAsuntos!C9+NºAsuntos!E9)/NºAsuntos!G9)-Datos!BG9)/Datos!BG9),(((NºAsuntos!C9+NºAsuntos!E9)/NºAsuntos!G9)-Datos!BG9)/Datos!BG9," - ")</f>
        <v>0.4709308115960083</v>
      </c>
    </row>
    <row r="10" spans="1:11" ht="21">
      <c r="A10" s="401" t="str">
        <f>Datos!A10</f>
        <v>Sección De Violencia sobre la Mujer del TI</v>
      </c>
      <c r="B10" s="454">
        <f>IF(ISNUMBER((Datos!I10-Datos!S10)/Datos!S10),(Datos!I10-Datos!S10)/Datos!S10," - ")</f>
        <v>-0.69491525423728817</v>
      </c>
      <c r="C10" s="455">
        <f>IF(ISNUMBER((Datos!J10-Datos!T10)/Datos!T10),(Datos!J10-Datos!T10)/Datos!T10," - ")</f>
        <v>-1</v>
      </c>
      <c r="D10" s="455">
        <f>IF(ISNUMBER((Datos!K10-Datos!U10)/Datos!U10),(Datos!K10-Datos!U10)/Datos!U10," - ")</f>
        <v>-0.86842105263157898</v>
      </c>
      <c r="E10" s="455">
        <f>IF(ISNUMBER((Datos!L10-Datos!V10)/Datos!V10),(Datos!L10-Datos!V10)/Datos!V10," - ")</f>
        <v>-0.65934065934065933</v>
      </c>
      <c r="F10" s="455">
        <f>IF(ISNUMBER((Datos!M10-Datos!W10)/Datos!W10),(Datos!M10-Datos!W10)/Datos!W10," - ")</f>
        <v>-0.79166666666666663</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1.5890109890109889</v>
      </c>
      <c r="J10" s="460">
        <f>IF(ISNUMBER((('Resol  Asuntos'!D10/NºAsuntos!G10)-Datos!BF10)/Datos!BF10),(('Resol  Asuntos'!D10/NºAsuntos!G10)-Datos!BF10)/Datos!BF10," - ")</f>
        <v>0.58333333333333337</v>
      </c>
      <c r="K10" s="461">
        <f>IF(ISNUMBER((((NºAsuntos!C10+NºAsuntos!E10)/NºAsuntos!G10)-Datos!BG10)/Datos!BG10),(((NºAsuntos!C10+NºAsuntos!E10)/NºAsuntos!G10)-Datos!BG10)/Datos!BG10," - ")</f>
        <v>1.1209302325581396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-6.3364500425005799E-3</v>
      </c>
      <c r="C13" s="852">
        <f>IF(ISNUMBER(
   IF(J_V="SI",(Datos!J13-Datos!T13)/Datos!T13,(Datos!J13+Datos!Z13-(Datos!T13+Datos!AH13))/(Datos!T13+Datos!AH13))
     ),IF(J_V="SI",(Datos!J13-Datos!T13)/Datos!T13,(Datos!J13+Datos!Z13-(Datos!T13+Datos!AH13))/(Datos!T13+Datos!AH13))," - ")</f>
        <v>-0.50625711035267351</v>
      </c>
      <c r="D13" s="852">
        <f>IF(ISNUMBER(
   IF(J_V="SI",(Datos!K13-Datos!U13)/Datos!U13,(Datos!K13+Datos!AA13-(Datos!U13+Datos!AI13))/(Datos!U13+Datos!AI13))
     ),IF(J_V="SI",(Datos!K13-Datos!U13)/Datos!U13,(Datos!K13+Datos!AA13-(Datos!U13+Datos!AI13))/(Datos!U13+Datos!AI13))," - ")</f>
        <v>-0.43475646422128683</v>
      </c>
      <c r="E13" s="852">
        <f>IF(ISNUMBER(
   IF(J_V="SI",(Datos!L13-Datos!V13)/Datos!V13,(Datos!L13+Datos!AB13-(Datos!V13+Datos!AJ13))/(Datos!V13+Datos!AJ13))
     ),IF(J_V="SI",(Datos!L13-Datos!V13)/Datos!V13,(Datos!L13+Datos!AB13-(Datos!V13+Datos!AJ13))/(Datos!V13+Datos!AJ13))," - ")</f>
        <v>-7.2881956752924498E-2</v>
      </c>
      <c r="F13" s="853">
        <f>IF(ISNUMBER((Datos!M13-Datos!W13)/Datos!W13),(Datos!M13-Datos!W13)/Datos!W13," - ")</f>
        <v>-0.40553633217993079</v>
      </c>
      <c r="G13" s="854">
        <f>IF(ISNUMBER((Datos!N13-Datos!X13)/Datos!X13),(Datos!N13-Datos!X13)/Datos!X13," - ")</f>
        <v>-0.44032921810699588</v>
      </c>
      <c r="H13" s="854">
        <f>IF(ISNUMBER(((NºAsuntos!G13/NºAsuntos!E13)-Datos!BD13)/Datos!BD13),((NºAsuntos!G13/NºAsuntos!E13)-Datos!BD13)/Datos!BD13," - ")</f>
        <v>0.14481352062094216</v>
      </c>
      <c r="I13" s="854">
        <f>IF(ISNUMBER(((NºAsuntos!I13/NºAsuntos!G13)-Datos!BE13)/Datos!BE13),((NºAsuntos!I13/NºAsuntos!G13)-Datos!BE13)/Datos!BE13," - ")</f>
        <v>0.64020989991477295</v>
      </c>
      <c r="J13" s="854">
        <f>IF(ISNUMBER((('Resol  Asuntos'!D13/NºAsuntos!G13)-Datos!BF13)/Datos!BF13),(('Resol  Asuntos'!D13/NºAsuntos!G13)-Datos!BF13)/Datos!BF13," - ")</f>
        <v>-0.37895425575389746</v>
      </c>
      <c r="K13" s="854">
        <f>IF(ISNUMBER((((NºAsuntos!C13+NºAsuntos!E13)/NºAsuntos!G13)-Datos!BG13)/Datos!BG13),(((NºAsuntos!C13+NºAsuntos!E13)/NºAsuntos!G13)-Datos!BG13)/Datos!BG13," - ")</f>
        <v>0.47293184446935543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9.099466582993411E-3</v>
      </c>
      <c r="C15" s="455">
        <f>IF(ISNUMBER(
   IF(D_I="SI",(Datos!J15-Datos!T15)/Datos!T15,(Datos!J15+Datos!AD15-(Datos!T15+Datos!AL15))/(Datos!T15+Datos!AL15))
     ),IF(D_I="SI",(Datos!J15-Datos!T15)/Datos!T15,(Datos!J15+Datos!AD15-(Datos!T15+Datos!AL15))/(Datos!T15+Datos!AL15))," - ")</f>
        <v>-0.16172287687931736</v>
      </c>
      <c r="D15" s="455">
        <f>IF(ISNUMBER(
   IF(D_I="SI",(Datos!K15-Datos!U15)/Datos!U15,(Datos!K15+Datos!AE15-(Datos!U15+Datos!AM15))/(Datos!U15+Datos!AM15))
     ),IF(D_I="SI",(Datos!K15-Datos!U15)/Datos!U15,(Datos!K15+Datos!AE15-(Datos!U15+Datos!AM15))/(Datos!U15+Datos!AM15))," - ")</f>
        <v>-7.3378839590443681E-2</v>
      </c>
      <c r="E15" s="455">
        <f>IF(ISNUMBER(
   IF(D_I="SI",(Datos!L15-Datos!V15)/Datos!V15,(Datos!L15+Datos!AF15-(Datos!V15+Datos!AN15))/(Datos!V15+Datos!AN15))
     ),IF(D_I="SI",(Datos!L15-Datos!V15)/Datos!V15,(Datos!L15+Datos!AF15-(Datos!V15+Datos!AN15))/(Datos!V15+Datos!AN15))," - ")</f>
        <v>-6.0193587416817906E-2</v>
      </c>
      <c r="F15" s="455">
        <f>IF(ISNUMBER((Datos!M15-Datos!W15)/Datos!W15),(Datos!M15-Datos!W15)/Datos!W15," - ")</f>
        <v>-0.32853717026378898</v>
      </c>
      <c r="G15" s="456">
        <f>IF(ISNUMBER((Datos!N15-Datos!X15)/Datos!X15),(Datos!N15-Datos!X15)/Datos!X15," - ")</f>
        <v>4.8280907095830286E-2</v>
      </c>
      <c r="H15" s="454">
        <f>IF(ISNUMBER(((NºAsuntos!G15/NºAsuntos!E15)-Datos!BD15)/Datos!BD15),((NºAsuntos!G15/NºAsuntos!E15)-Datos!BD15)/Datos!BD15," - ")</f>
        <v>0.10538762761411434</v>
      </c>
      <c r="I15" s="455">
        <f>IF(ISNUMBER(((NºAsuntos!I15/NºAsuntos!G15)-Datos!BE15)/Datos!BE15),((NºAsuntos!I15/NºAsuntos!G15)-Datos!BE15)/Datos!BE15," - ")</f>
        <v>1.4229388165275731E-2</v>
      </c>
      <c r="J15" s="460">
        <f>IF(ISNUMBER((('Resol  Asuntos'!D15/NºAsuntos!G15)-Datos!BF15)/Datos!BF15),(('Resol  Asuntos'!D15/NºAsuntos!G15)-Datos!BF15)/Datos!BF15," - ")</f>
        <v>-0.27536423899554391</v>
      </c>
      <c r="K15" s="461">
        <f>IF(ISNUMBER((((NºAsuntos!C15+NºAsuntos!E15)/NºAsuntos!G15)-Datos!BG15)/Datos!BG15),(((NºAsuntos!C15+NºAsuntos!E15)/NºAsuntos!G15)-Datos!BG15)/Datos!BG15," - ")</f>
        <v>8.683136911190199E-3</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-0.66666666666666663</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-0.50793650793650791</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-0.76</v>
      </c>
      <c r="E18" s="455">
        <f>IF(ISNUMBER(
   IF(D_I="SI",(Datos!L18-Datos!V18)/Datos!V18,(Datos!L18+Datos!AF18-(Datos!V18+Datos!AN18))/(Datos!V18+Datos!AN18))
     ),IF(D_I="SI",(Datos!L18-Datos!V18)/Datos!V18,(Datos!L18+Datos!AF18-(Datos!V18+Datos!AN18))/(Datos!V18+Datos!AN18))," - ")</f>
        <v>-0.49549549549549549</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f>IF(ISNUMBER(((NºAsuntos!I18/NºAsuntos!G18)-Datos!BE18)/Datos!BE18),((NºAsuntos!I18/NºAsuntos!G18)-Datos!BE18)/Datos!BE18," - ")</f>
        <v>1.102102102102102</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0.89950980392156865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-1.1158021712907118E-2</v>
      </c>
      <c r="C19" s="852">
        <f>IF(ISNUMBER(
   IF(Criterios!B14="SI",(Datos!J19-Datos!T19)/Datos!T19,(Datos!J19+Datos!AD19-(Datos!T19+Datos!AL19))/(Datos!T19+Datos!AL19))
     ),IF(Criterios!B14="SI",(Datos!J19-Datos!T19)/Datos!T19,(Datos!J19+Datos!AD19-(Datos!T19+Datos!AL19))/(Datos!T19+Datos!AL19))," - ")</f>
        <v>-0.16511533791987049</v>
      </c>
      <c r="D19" s="852">
        <f>IF(ISNUMBER(
   IF(Criterios!B14="SI",(Datos!K19-Datos!U19)/Datos!U19,(Datos!K19+Datos!AE19-(Datos!U19+Datos!AM19))/(Datos!U19+Datos!AM19))
     ),IF(Criterios!B14="SI",(Datos!K19-Datos!U19)/Datos!U19,(Datos!K19+Datos!AE19-(Datos!U19+Datos!AM19))/(Datos!U19+Datos!AM19))," - ")</f>
        <v>-8.1400253057781521E-2</v>
      </c>
      <c r="E19" s="852">
        <f>IF(ISNUMBER(
   IF(Criterios!B14="SI",(Datos!L19-Datos!V19)/Datos!V19,(Datos!L19+Datos!AF19-(Datos!V19+Datos!AN19))/(Datos!V19+Datos!AN19))
     ),IF(Criterios!B14="SI",(Datos!L19-Datos!V19)/Datos!V19,(Datos!L19+Datos!AF19-(Datos!V19+Datos!AN19))/(Datos!V19+Datos!AN19))," - ")</f>
        <v>-7.4312463428905795E-2</v>
      </c>
      <c r="F19" s="853">
        <f>IF(ISNUMBER((Datos!M19-Datos!W19)/Datos!W19),(Datos!M19-Datos!W19)/Datos!W19," - ")</f>
        <v>-0.32853717026378898</v>
      </c>
      <c r="G19" s="854">
        <f>IF(ISNUMBER((Datos!N19-Datos!X19)/Datos!X19),(Datos!N19-Datos!X19)/Datos!X19," - ")</f>
        <v>4.8210372534696858E-2</v>
      </c>
      <c r="H19" s="854">
        <f>IF(ISNUMBER(((NºAsuntos!G19/NºAsuntos!E19)-Datos!BD19)/Datos!BD19),((NºAsuntos!G19/NºAsuntos!E19)-Datos!BD19)/Datos!BD19," - ")</f>
        <v>0.10027143707911862</v>
      </c>
      <c r="I19" s="854">
        <f>IF(ISNUMBER(((NºAsuntos!I19/NºAsuntos!G19)-Datos!BE19)/Datos!BE19),((NºAsuntos!I19/NºAsuntos!G19)-Datos!BE19)/Datos!BE19," - ")</f>
        <v>7.7158628145382628E-3</v>
      </c>
      <c r="J19" s="854">
        <f>IF(ISNUMBER((('Resol  Asuntos'!D19/NºAsuntos!G19)-Datos!BF19)/Datos!BF19),(('Resol  Asuntos'!D19/NºAsuntos!G19)-Datos!BF19)/Datos!BF19," - ")</f>
        <v>-0.26903656138450116</v>
      </c>
      <c r="K19" s="854">
        <f>IF(ISNUMBER((((NºAsuntos!C19+NºAsuntos!E19)/NºAsuntos!G19)-Datos!BG19)/Datos!BG19),(((NºAsuntos!C19+NºAsuntos!E19)/NºAsuntos!G19)-Datos!BG19)/Datos!BG19," - ")</f>
        <v>4.9028545187648348E-3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-7.3199237251645446E-3</v>
      </c>
      <c r="C20" s="799">
        <f>IF(ISNUMBER(
   IF(J_V="SI",(Datos!J20-Datos!T20)/Datos!T20,(Datos!J20+Datos!Z20-(Datos!T20+Datos!AH20))/(Datos!T20+Datos!AH20))
     ),IF(J_V="SI",(Datos!J20-Datos!T20)/Datos!T20,(Datos!J20+Datos!Z20-(Datos!T20+Datos!AH20))/(Datos!T20+Datos!AH20))," - ")</f>
        <v>-0.40851113172541742</v>
      </c>
      <c r="D20" s="799">
        <f>IF(ISNUMBER(
   IF(J_V="SI",(Datos!K20-Datos!U20)/Datos!U20,(Datos!K20+Datos!AA20-(Datos!U20+Datos!AI20))/(Datos!U20+Datos!AI20))
     ),IF(J_V="SI",(Datos!K20-Datos!U20)/Datos!U20,(Datos!K20+Datos!AA20-(Datos!U20+Datos!AI20))/(Datos!U20+Datos!AI20))," - ")</f>
        <v>-0.32092391304347828</v>
      </c>
      <c r="E20" s="799">
        <f>IF(ISNUMBER(
   IF(J_V="SI",(Datos!L20-Datos!V20)/Datos!V20,(Datos!L20+Datos!AB20-(Datos!V20+Datos!AJ20))/(Datos!V20+Datos!AJ20))
     ),IF(J_V="SI",(Datos!L20-Datos!V20)/Datos!V20,(Datos!L20+Datos!AB20-(Datos!V20+Datos!AJ20))/(Datos!V20+Datos!AJ20))," - ")</f>
        <v>-7.3160988415225697E-2</v>
      </c>
      <c r="F20" s="800">
        <f>IF(ISNUMBER((Datos!M20-Datos!W20)/Datos!W20),(Datos!M20-Datos!W20)/Datos!W20," - ")</f>
        <v>-0.38829215896885072</v>
      </c>
      <c r="G20" s="801">
        <f>IF(ISNUMBER((Datos!N20-Datos!X20)/Datos!X20),(Datos!N20-Datos!X20)/Datos!X20," - ")</f>
        <v>-0.26428007370360623</v>
      </c>
      <c r="H20" s="802">
        <f>IF(ISNUMBER((Tasas!B20-Datos!BD20)/Datos!BD20),(Tasas!B20-Datos!BD20)/Datos!BD20," - ")</f>
        <v>0.14807923425074368</v>
      </c>
      <c r="I20" s="803">
        <f>IF(ISNUMBER((Tasas!C20-Datos!BE20)/Datos!BE20),(Tasas!C20-Datos!BE20)/Datos!BE20," - ")</f>
        <v>0.36485296623928348</v>
      </c>
      <c r="J20" s="804">
        <f>IF(ISNUMBER((Tasas!D20-Datos!BF20)/Datos!BF20),(Tasas!D20-Datos!BF20)/Datos!BF20," - ")</f>
        <v>-0.41435792193972554</v>
      </c>
      <c r="K20" s="804">
        <f>IF(ISNUMBER((Tasas!E20-Datos!BG20)/Datos!BG20),(Tasas!E20-Datos!BG20)/Datos!BG20," - ")</f>
        <v>0.25703623356822319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9vADW5JokGCvHvvsUWUivvXdL1d6+CCtTRn/REvph549e4i1BBmPNg1U/Q6fG07Ilkin6HBWVYGxzMWWNSlRA==" saltValue="/6WF8zNmx92zlR7qieV5U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TELDE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0.92659644502962479</v>
      </c>
      <c r="C9" s="442">
        <f>IF(ISNUMBER(NºAsuntos!I9/NºAsuntos!G9),NºAsuntos!I9/NºAsuntos!G9," - ")</f>
        <v>4.6344582593250445</v>
      </c>
      <c r="D9" s="443">
        <f>IF(ISNUMBER('Resol  Asuntos'!D9/NºAsuntos!G9),'Resol  Asuntos'!D9/NºAsuntos!G9," - ")</f>
        <v>0.30337477797513324</v>
      </c>
      <c r="E9" s="444">
        <f>IF(ISNUMBER((NºAsuntos!C9+NºAsuntos!E9)/NºAsuntos!G9),(NºAsuntos!C9+NºAsuntos!E9)/NºAsuntos!G9," - ")</f>
        <v>5.6344582593250445</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6.2</v>
      </c>
      <c r="D10" s="443">
        <f>IF(ISNUMBER('Resol  Asuntos'!D10/NºAsuntos!G10),'Resol  Asuntos'!D10/NºAsuntos!G10," - ")</f>
        <v>1</v>
      </c>
      <c r="E10" s="444">
        <f>IF(ISNUMBER((NºAsuntos!C10+NºAsuntos!E10)/NºAsuntos!G10),(NºAsuntos!C10+NºAsuntos!E10)/NºAsuntos!G10," - ")</f>
        <v>7.2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0.92824226464779458</v>
      </c>
      <c r="C13" s="856">
        <f>IF(ISNUMBER(NºAsuntos!I13/NºAsuntos!G13),NºAsuntos!I13/NºAsuntos!G13," - ")</f>
        <v>4.6372340425531915</v>
      </c>
      <c r="D13" s="857">
        <f>IF(ISNUMBER('Resol  Asuntos'!D13/NºAsuntos!G13),'Resol  Asuntos'!D13/NºAsuntos!G13," - ")</f>
        <v>0.30460992907801421</v>
      </c>
      <c r="E13" s="858">
        <f>IF(ISNUMBER((NºAsuntos!C13+NºAsuntos!E13)/NºAsuntos!G13),(NºAsuntos!C13+NºAsuntos!E13)/NºAsuntos!G13," - ")</f>
        <v>5.6372340425531915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1.0528356761997091</v>
      </c>
      <c r="C15" s="442">
        <f>IF(ISNUMBER(NºAsuntos!I15/NºAsuntos!G15),NºAsuntos!I15/NºAsuntos!G15," - ")</f>
        <v>1.4304788213627992</v>
      </c>
      <c r="D15" s="443">
        <f>IF(ISNUMBER('Resol  Asuntos'!D15/NºAsuntos!G15),'Resol  Asuntos'!D15/NºAsuntos!G15," - ")</f>
        <v>0.12891344383057091</v>
      </c>
      <c r="E15" s="444">
        <f>IF(ISNUMBER((NºAsuntos!C15+NºAsuntos!E15)/NºAsuntos!G15),(NºAsuntos!C15+NºAsuntos!E15)/NºAsuntos!G15," - ")</f>
        <v>2.4304788213627995</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9.3333333333333339</v>
      </c>
      <c r="D18" s="443">
        <f>IF(ISNUMBER('Resol  Asuntos'!D18/NºAsuntos!G18),'Resol  Asuntos'!D18/NºAsuntos!G18," - ")</f>
        <v>0</v>
      </c>
      <c r="E18" s="444">
        <f>IF(ISNUMBER((NºAsuntos!C18+NºAsuntos!E18)/NºAsuntos!G18),(NºAsuntos!C18+NºAsuntos!E18)/NºAsuntos!G18," - ")</f>
        <v>10.333333333333334</v>
      </c>
      <c r="G18" s="462"/>
    </row>
    <row r="19" spans="1:7" ht="14.25" thickTop="1" thickBot="1">
      <c r="A19" s="845" t="str">
        <f>Datos!A19</f>
        <v>TOTAL</v>
      </c>
      <c r="B19" s="855">
        <f>IF(ISNUMBER(NºAsuntos!G19/NºAsuntos!E19),NºAsuntos!G19/NºAsuntos!E19," - ")</f>
        <v>1.0557440620455647</v>
      </c>
      <c r="C19" s="856">
        <f>IF(ISNUMBER(NºAsuntos!I19/NºAsuntos!G19),NºAsuntos!I19/NºAsuntos!G19," - ")</f>
        <v>1.4527089072543617</v>
      </c>
      <c r="D19" s="859">
        <f>IF(ISNUMBER('Resol  Asuntos'!D19/NºAsuntos!G19),'Resol  Asuntos'!D19/NºAsuntos!G19," - ")</f>
        <v>0.12855831037649221</v>
      </c>
      <c r="E19" s="858">
        <f>IF(ISNUMBER((NºAsuntos!C19+NºAsuntos!E19)/NºAsuntos!G19),(NºAsuntos!C19+NºAsuntos!E19)/NºAsuntos!G19," - ")</f>
        <v>2.4527089072543617</v>
      </c>
      <c r="G19" s="462"/>
    </row>
    <row r="20" spans="1:7" ht="15.75" customHeight="1" thickTop="1" thickBot="1">
      <c r="A20" s="790" t="str">
        <f>Datos!A20</f>
        <v>TOTAL JURISDICCIONES</v>
      </c>
      <c r="B20" s="805">
        <f>IF(ISNUMBER(NºAsuntos!G20/NºAsuntos!E20),NºAsuntos!G20/NºAsuntos!E20," - ")</f>
        <v>0.97980788080768477</v>
      </c>
      <c r="C20" s="806">
        <f>IF(ISNUMBER(NºAsuntos!I20/NºAsuntos!G20),NºAsuntos!I20/NºAsuntos!G20," - ")</f>
        <v>3.2494997999199682</v>
      </c>
      <c r="D20" s="807">
        <f>IF(ISNUMBER('Resol  Asuntos'!D20/NºAsuntos!G20),'Resol  Asuntos'!D20/NºAsuntos!G20," - ")</f>
        <v>0.22789115646258504</v>
      </c>
      <c r="E20" s="808">
        <f>IF(ISNUMBER((NºAsuntos!C20+NºAsuntos!E20)/NºAsuntos!G20),(NºAsuntos!C20+NºAsuntos!E20)/NºAsuntos!G20," - ")</f>
        <v>4.2494997999199677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4iicgGRbefiK9I+6okU2Zn0pbmyEriRxMDVsVRENjvu5GBSGhiCfBHN6WEnWqT9iG5eIViNbqFUGvWpc/IcFQ==" saltValue="PSP2jY82cGGsqe4vrUwdv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TELDE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428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112</v>
      </c>
      <c r="Y9" s="333">
        <f>SUM(W9:X9)</f>
        <v>112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11989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854</v>
      </c>
      <c r="AJ9" s="228" t="str">
        <f>IF(ISNUMBER(Datos!BW9),Datos!BW9," - ")</f>
        <v xml:space="preserve"> - </v>
      </c>
      <c r="AK9" s="227" t="str">
        <f>IF(ISNUMBER(Datos!BX9),Datos!BX9," - ")</f>
        <v xml:space="preserve"> - </v>
      </c>
      <c r="AL9" s="242">
        <f>IF(ISNUMBER(NºAsuntos!G9/NºAsuntos!E9),NºAsuntos!G9/NºAsuntos!E9," - ")</f>
        <v>0.92659644502962479</v>
      </c>
      <c r="AM9" s="259">
        <f>IF(ISNUMBER(((NºAsuntos!I9/NºAsuntos!G9)*11)/factor_trimestre),((NºAsuntos!I9/NºAsuntos!G9)*11)/factor_trimestre," - ")</f>
        <v>13.903374777975133</v>
      </c>
      <c r="AN9" s="243">
        <f>IF(ISNUMBER('Resol  Asuntos'!D9/NºAsuntos!G9),'Resol  Asuntos'!D9/NºAsuntos!G9," - ")</f>
        <v>0.30337477797513324</v>
      </c>
      <c r="AO9" s="244">
        <f>IF(ISNUMBER((NºAsuntos!C9+NºAsuntos!E9)/NºAsuntos!G9),(NºAsuntos!C9+NºAsuntos!E9)/NºAsuntos!G9," - ")</f>
        <v>5.6344582593250445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36</v>
      </c>
      <c r="G10" s="332">
        <f>IF(ISNUMBER(Datos!I10),Datos!I10," - ")</f>
        <v>36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31</v>
      </c>
      <c r="AB10" s="333">
        <f>IF(ISNUMBER(Datos!R10),Datos!R10," - ")</f>
        <v>95</v>
      </c>
      <c r="AC10" s="333">
        <f t="shared" ref="AC10:AC12" si="1">IF(ISNUMBER(AA10+AB10),AA10+AB10," - ")</f>
        <v>126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18.600000000000001</v>
      </c>
      <c r="AN10" s="243">
        <f>IF(ISNUMBER('Resol  Asuntos'!D10/NºAsuntos!G10),'Resol  Asuntos'!D10/NºAsuntos!G10," - ")</f>
        <v>1</v>
      </c>
      <c r="AO10" s="244">
        <f>IF(ISNUMBER((NºAsuntos!C10+NºAsuntos!E10)/NºAsuntos!G10),(NºAsuntos!C10+NºAsuntos!E10)/NºAsuntos!G10," - ")</f>
        <v>7.2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36</v>
      </c>
      <c r="G13" s="863">
        <f t="shared" si="3"/>
        <v>36</v>
      </c>
      <c r="H13" s="862">
        <f t="shared" si="3"/>
        <v>0</v>
      </c>
      <c r="I13" s="864">
        <f t="shared" si="3"/>
        <v>0</v>
      </c>
      <c r="J13" s="864">
        <f t="shared" si="3"/>
        <v>0</v>
      </c>
      <c r="K13" s="864">
        <f t="shared" si="3"/>
        <v>0</v>
      </c>
      <c r="L13" s="864">
        <f t="shared" si="3"/>
        <v>428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112</v>
      </c>
      <c r="Y13" s="865">
        <f t="shared" si="4"/>
        <v>117</v>
      </c>
      <c r="Z13" s="865">
        <f t="shared" si="4"/>
        <v>0</v>
      </c>
      <c r="AA13" s="865">
        <f t="shared" si="4"/>
        <v>31</v>
      </c>
      <c r="AB13" s="865">
        <f t="shared" si="4"/>
        <v>12084</v>
      </c>
      <c r="AC13" s="865">
        <f t="shared" si="4"/>
        <v>126</v>
      </c>
      <c r="AD13" s="865">
        <f t="shared" si="4"/>
        <v>0</v>
      </c>
      <c r="AE13" s="869">
        <f t="shared" si="4"/>
        <v>0</v>
      </c>
      <c r="AF13" s="862">
        <f t="shared" si="4"/>
        <v>0</v>
      </c>
      <c r="AG13" s="870">
        <f t="shared" si="4"/>
        <v>0</v>
      </c>
      <c r="AH13" s="867">
        <f t="shared" si="4"/>
        <v>0</v>
      </c>
      <c r="AI13" s="862">
        <f t="shared" si="4"/>
        <v>859</v>
      </c>
      <c r="AJ13" s="864">
        <f t="shared" si="4"/>
        <v>0</v>
      </c>
      <c r="AK13" s="867">
        <f>SUBTOTAL(9,AK9:AK12)</f>
        <v>0</v>
      </c>
      <c r="AL13" s="871">
        <f>IF(ISNUMBER(NºAsuntos!G13/NºAsuntos!E13),NºAsuntos!G13/NºAsuntos!E13," - ")</f>
        <v>0.92824226464779458</v>
      </c>
      <c r="AM13" s="871">
        <f>IF(ISNUMBER(((NºAsuntos!I13/NºAsuntos!G13)*11)/factor_trimestre),((NºAsuntos!I13/NºAsuntos!G13)*11)/factor_trimestre," - ")</f>
        <v>13.911702127659575</v>
      </c>
      <c r="AN13" s="872">
        <f>IF(ISNUMBER('Resol  Asuntos'!D13/NºAsuntos!G13),'Resol  Asuntos'!D13/NºAsuntos!G13," - ")</f>
        <v>0.30460992907801421</v>
      </c>
      <c r="AO13" s="873">
        <f>IF(ISNUMBER((NºAsuntos!C13+NºAsuntos!E13)/NºAsuntos!G13),(NºAsuntos!C13+NºAsuntos!E13)/NºAsuntos!G13," - ")</f>
        <v>5.6372340425531915</v>
      </c>
      <c r="AP13" s="874" t="str">
        <f t="shared" si="2"/>
        <v xml:space="preserve"> - </v>
      </c>
      <c r="AQ13" s="874">
        <f>IF(ISNUMBER((H13-W13+K13)/(F13)),(H13-W13+K13)/(F13)," - ")</f>
        <v>-0.1388888888888889</v>
      </c>
      <c r="AR13" s="875">
        <f>IF(ISNUMBER((Datos!P13-Datos!Q13)/(Datos!R13-Datos!P13+Datos!Q13)),(Datos!P13-Datos!Q13)/(Datos!R13-Datos!P13+Datos!Q13)," - ")</f>
        <v>2.6852481305234533E-2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3216</v>
      </c>
      <c r="G15" s="332">
        <f>IF(ISNUMBER(IF(D_I="SI",Datos!I15,Datos!I15+Datos!AC15)),IF(D_I="SI",Datos!I15,Datos!I15+Datos!AC15)," - ")</f>
        <v>3216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2172</v>
      </c>
      <c r="X15" s="225">
        <f>IF(ISNUMBER(Datos!Q15),Datos!Q15," - ")</f>
        <v>75</v>
      </c>
      <c r="Y15" s="333">
        <f>SUM(W15)</f>
        <v>2172</v>
      </c>
      <c r="Z15" s="334" t="str">
        <f>IF(ISNUMBER(Datos!CC15),Datos!CC15," - ")</f>
        <v xml:space="preserve"> - </v>
      </c>
      <c r="AA15" s="331">
        <f>IF(ISNUMBER(IF(D_I="SI",Datos!L15,Datos!L15+Datos!AF15)),IF(D_I="SI",Datos!L15,Datos!L15+Datos!AF15)," - ")</f>
        <v>3107</v>
      </c>
      <c r="AB15" s="333">
        <f>IF(ISNUMBER(Datos!R15),Datos!R15," - ")</f>
        <v>469</v>
      </c>
      <c r="AC15" s="333">
        <f t="shared" ref="AC15:AC18" si="6">IF(ISNUMBER(AA15+AB15),AA15+AB15," - ")</f>
        <v>3576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280</v>
      </c>
      <c r="AJ15" s="230" t="str">
        <f>IF(ISNUMBER(Datos!BW15),Datos!BW15," - ")</f>
        <v xml:space="preserve"> - </v>
      </c>
      <c r="AK15" s="231" t="str">
        <f>IF(ISNUMBER(Datos!BX15),Datos!BX15," - ")</f>
        <v xml:space="preserve"> - </v>
      </c>
      <c r="AL15" s="242">
        <f>IF(ISNUMBER(NºAsuntos!G15/NºAsuntos!E15),NºAsuntos!G15/NºAsuntos!E15," - ")</f>
        <v>1.0528356761997091</v>
      </c>
      <c r="AM15" s="259">
        <f>IF(ISNUMBER(((NºAsuntos!I15/NºAsuntos!G15)*11)/factor_trimestre),((NºAsuntos!I15/NºAsuntos!G15)*11)/factor_trimestre," - ")</f>
        <v>4.291436464088398</v>
      </c>
      <c r="AN15" s="243">
        <f>IF(ISNUMBER('Resol  Asuntos'!D15/NºAsuntos!G15),'Resol  Asuntos'!D15/NºAsuntos!G15," - ")</f>
        <v>0.12891344383057091</v>
      </c>
      <c r="AO15" s="244">
        <f>IF(ISNUMBER((NºAsuntos!C15+NºAsuntos!E15)/NºAsuntos!G15),(NºAsuntos!C15+NºAsuntos!E15)/NºAsuntos!G15," - ")</f>
        <v>2.4304788213627995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1</v>
      </c>
      <c r="G17" s="332">
        <f>IF(ISNUMBER(IF(D_I="SI",Datos!I17,Datos!I17+Datos!AC17)),IF(D_I="SI",Datos!I17,Datos!I17+Datos!AC17)," - ")</f>
        <v>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ref="Y17:Y18" si="9">SUM(W17:X17)</f>
        <v>0</v>
      </c>
      <c r="Z17" s="334" t="str">
        <f>IF(ISNUMBER(Datos!CC17),Datos!CC17," - ")</f>
        <v xml:space="preserve"> - </v>
      </c>
      <c r="AA17" s="331">
        <f>IF(ISNUMBER(IF(D_I="SI",Datos!L17,Datos!L17+Datos!AF17)),IF(D_I="SI",Datos!L17,Datos!L17+Datos!AF17)," - ")</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v>
      </c>
      <c r="X18" s="225">
        <f>IF(ISNUMBER(Datos!Q18),Datos!Q18," - ")</f>
        <v>0</v>
      </c>
      <c r="Y18" s="333">
        <f t="shared" si="9"/>
        <v>6</v>
      </c>
      <c r="Z18" s="334" t="str">
        <f>IF(ISNUMBER(Datos!CC18),Datos!CC18," - ")</f>
        <v xml:space="preserve"> - </v>
      </c>
      <c r="AA18" s="331">
        <f>IF(ISNUMBER(Datos!L18),Datos!L18,"-")</f>
        <v>56</v>
      </c>
      <c r="AB18" s="333">
        <f>IF(ISNUMBER(Datos!R18),Datos!R18," - ")</f>
        <v>0</v>
      </c>
      <c r="AC18" s="333">
        <f t="shared" si="6"/>
        <v>56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28.000000000000004</v>
      </c>
      <c r="AN18" s="243">
        <f>IF(ISNUMBER('Resol  Asuntos'!D18/NºAsuntos!G18),'Resol  Asuntos'!D18/NºAsuntos!G18," - ")</f>
        <v>0</v>
      </c>
      <c r="AO18" s="244">
        <f>IF(ISNUMBER((NºAsuntos!C18+NºAsuntos!E18)/NºAsuntos!G18),(NºAsuntos!C18+NºAsuntos!E18)/NºAsuntos!G18," - ")</f>
        <v>10.333333333333334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3217</v>
      </c>
      <c r="G19" s="863">
        <f>SUBTOTAL(9,G15:G18)</f>
        <v>3279</v>
      </c>
      <c r="H19" s="862">
        <f t="shared" ref="H19:O19" si="12">SUBTOTAL(9,H14:H18)</f>
        <v>0</v>
      </c>
      <c r="I19" s="864">
        <f t="shared" si="12"/>
        <v>0</v>
      </c>
      <c r="J19" s="864">
        <f t="shared" si="12"/>
        <v>0</v>
      </c>
      <c r="K19" s="864">
        <f t="shared" si="12"/>
        <v>0</v>
      </c>
      <c r="L19" s="864">
        <f t="shared" si="12"/>
        <v>44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2178</v>
      </c>
      <c r="X19" s="864">
        <f t="shared" si="13"/>
        <v>75</v>
      </c>
      <c r="Y19" s="865">
        <f t="shared" si="13"/>
        <v>2178</v>
      </c>
      <c r="Z19" s="865">
        <f t="shared" si="13"/>
        <v>0</v>
      </c>
      <c r="AA19" s="865">
        <f t="shared" si="13"/>
        <v>3164</v>
      </c>
      <c r="AB19" s="865">
        <f t="shared" si="13"/>
        <v>469</v>
      </c>
      <c r="AC19" s="865">
        <f t="shared" si="13"/>
        <v>3633</v>
      </c>
      <c r="AD19" s="865">
        <f t="shared" si="13"/>
        <v>0</v>
      </c>
      <c r="AE19" s="869">
        <f t="shared" si="13"/>
        <v>0</v>
      </c>
      <c r="AF19" s="862">
        <f t="shared" si="13"/>
        <v>0</v>
      </c>
      <c r="AG19" s="870">
        <f t="shared" si="13"/>
        <v>0</v>
      </c>
      <c r="AH19" s="867">
        <f t="shared" si="13"/>
        <v>0</v>
      </c>
      <c r="AI19" s="862">
        <f t="shared" si="13"/>
        <v>280</v>
      </c>
      <c r="AJ19" s="864">
        <f t="shared" si="13"/>
        <v>0</v>
      </c>
      <c r="AK19" s="867">
        <f t="shared" si="13"/>
        <v>0</v>
      </c>
      <c r="AL19" s="871">
        <f>IF(ISNUMBER(NºAsuntos!G19/NºAsuntos!E19),NºAsuntos!G19/NºAsuntos!E19," - ")</f>
        <v>1.0557440620455647</v>
      </c>
      <c r="AM19" s="871">
        <f>IF(ISNUMBER(((NºAsuntos!I19/NºAsuntos!G19)*11)/factor_trimestre),((NºAsuntos!I19/NºAsuntos!G19)*11)/factor_trimestre," - ")</f>
        <v>4.3581267217630852</v>
      </c>
      <c r="AN19" s="872">
        <f>IF(ISNUMBER('Resol  Asuntos'!D19/NºAsuntos!G19),'Resol  Asuntos'!D19/NºAsuntos!G19," - ")</f>
        <v>0.12855831037649221</v>
      </c>
      <c r="AO19" s="873">
        <f>IF(ISNUMBER((NºAsuntos!C19+NºAsuntos!E19)/NºAsuntos!G19),(NºAsuntos!C19+NºAsuntos!E19)/NºAsuntos!G19," - ")</f>
        <v>2.4527089072543617</v>
      </c>
      <c r="AP19" s="874" t="str">
        <f t="shared" si="2"/>
        <v xml:space="preserve"> - </v>
      </c>
      <c r="AQ19" s="874">
        <f>IF(ISNUMBER((H19-W19+K19)/(F19)),(H19-W19+K19)/(F19)," - ")</f>
        <v>-0.67702828722412189</v>
      </c>
      <c r="AR19" s="875">
        <f>IF(ISNUMBER((Datos!P19-Datos!Q19)/(Datos!R19-Datos!P19+Datos!Q19)),(Datos!P19-Datos!Q19)/(Datos!R19-Datos!P19+Datos!Q19)," - ")</f>
        <v>-6.2E-2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9</v>
      </c>
      <c r="F20" s="817">
        <f t="shared" si="15"/>
        <v>3253</v>
      </c>
      <c r="G20" s="818">
        <f t="shared" si="15"/>
        <v>3315</v>
      </c>
      <c r="H20" s="817">
        <f t="shared" si="15"/>
        <v>0</v>
      </c>
      <c r="I20" s="819">
        <f t="shared" si="15"/>
        <v>0</v>
      </c>
      <c r="J20" s="819">
        <f t="shared" si="15"/>
        <v>0</v>
      </c>
      <c r="K20" s="878">
        <f t="shared" si="15"/>
        <v>0</v>
      </c>
      <c r="L20" s="819">
        <f t="shared" si="15"/>
        <v>472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2183</v>
      </c>
      <c r="X20" s="818">
        <f t="shared" si="16"/>
        <v>187</v>
      </c>
      <c r="Y20" s="825">
        <f t="shared" si="16"/>
        <v>2295</v>
      </c>
      <c r="Z20" s="825">
        <f t="shared" si="16"/>
        <v>0</v>
      </c>
      <c r="AA20" s="825">
        <f t="shared" si="16"/>
        <v>3195</v>
      </c>
      <c r="AB20" s="825">
        <f t="shared" si="16"/>
        <v>12553</v>
      </c>
      <c r="AC20" s="825">
        <f t="shared" si="16"/>
        <v>3759</v>
      </c>
      <c r="AD20" s="825">
        <f t="shared" si="16"/>
        <v>0</v>
      </c>
      <c r="AE20" s="827">
        <f t="shared" si="16"/>
        <v>0</v>
      </c>
      <c r="AF20" s="828">
        <f t="shared" si="16"/>
        <v>0</v>
      </c>
      <c r="AG20" s="829">
        <f t="shared" si="16"/>
        <v>0</v>
      </c>
      <c r="AH20" s="827">
        <f t="shared" si="16"/>
        <v>0</v>
      </c>
      <c r="AI20" s="817">
        <f t="shared" si="16"/>
        <v>1139</v>
      </c>
      <c r="AJ20" s="817">
        <f t="shared" si="16"/>
        <v>0</v>
      </c>
      <c r="AK20" s="827">
        <f t="shared" si="16"/>
        <v>0</v>
      </c>
      <c r="AL20" s="881">
        <f>IF(ISNUMBER(NºAsuntos!G20/NºAsuntos!E20),NºAsuntos!G20/NºAsuntos!E20," - ")</f>
        <v>0.97980788080768477</v>
      </c>
      <c r="AM20" s="882">
        <f>IF(ISNUMBER(((NºAsuntos!I20/NºAsuntos!G20)*11)/factor_trimestre),((NºAsuntos!I20/NºAsuntos!G20)*11)/factor_trimestre," - ")</f>
        <v>9.7484993997599041</v>
      </c>
      <c r="AN20" s="882">
        <f>IF(ISNUMBER('Resol  Asuntos'!D20/NºAsuntos!G20),'Resol  Asuntos'!D20/NºAsuntos!G20," - ")</f>
        <v>0.22789115646258504</v>
      </c>
      <c r="AO20" s="883">
        <f>IF(ISNUMBER((NºAsuntos!C20+NºAsuntos!E20)/NºAsuntos!G20),(NºAsuntos!C20+NºAsuntos!E20)/NºAsuntos!G20," - ")</f>
        <v>4.2494997999199677</v>
      </c>
      <c r="AP20" s="884" t="str">
        <f t="shared" si="2"/>
        <v xml:space="preserve"> - </v>
      </c>
      <c r="AQ20" s="885">
        <f>IF(OR(ISNUMBER(FIND("01",Criterios!A8,1)),ISNUMBER(FIND("02",Criterios!A8,1)),ISNUMBER(FIND("03",Criterios!A8,1)),ISNUMBER(FIND("04",Criterios!A8,1))),(I20-W20+K20)/(F20-K20),(H20-W20+K20)/(F20-K20))</f>
        <v>-0.671072855825392</v>
      </c>
      <c r="AR20" s="886">
        <f>IF(ISNUMBER((Datos!P20-Datos!Q20)/(Datos!R20-Datos!P20+Datos!Q20)),(Datos!P20-Datos!Q20)/(Datos!R20-Datos!P20+Datos!Q20)," - ")</f>
        <v>2.3231170524942942E-2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2.5298221281347035</v>
      </c>
      <c r="F22" s="251">
        <f>IF(ISNUMBER(STDEV(F8:F19)),STDEV(F8:F19),"-")</f>
        <v>1748.4801114110508</v>
      </c>
      <c r="G22" s="252">
        <f>IF(ISNUMBER(STDEV(G8:G19)),STDEV(G8:G19),"-")</f>
        <v>1659.8062537537326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1121.103147202195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383.55697410026636</v>
      </c>
      <c r="AJ22" s="251">
        <f t="shared" si="20"/>
        <v>0</v>
      </c>
      <c r="AK22" s="253">
        <f t="shared" si="20"/>
        <v>0</v>
      </c>
      <c r="AL22" s="248">
        <f t="shared" si="20"/>
        <v>7.3261429392484881E-2</v>
      </c>
      <c r="AM22" s="249">
        <f t="shared" si="20"/>
        <v>8.9916988698739271</v>
      </c>
      <c r="AN22" s="249">
        <f t="shared" si="20"/>
        <v>0.35720621826294663</v>
      </c>
      <c r="AO22" s="250">
        <f t="shared" si="20"/>
        <v>2.9972329566246425</v>
      </c>
      <c r="AP22" s="290" t="str">
        <f t="shared" si="20"/>
        <v>-</v>
      </c>
      <c r="AQ22" s="291">
        <f t="shared" si="20"/>
        <v>0.38052201778649192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yzXVSkrxWLAUSOSsCmBuay2+VOLBc2IdKwHT4GyMUNOqvfJTNFKgWRcegxdAZ41tamyD40GA+3OVOuBUITZ9Q==" saltValue="OauTSi7E54p2dsbr8pYy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TELDE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-0.39901477832512317</v>
      </c>
      <c r="I9" s="349">
        <f>IF(ISNUMBER((Tasas!C9-Datos!BE9)/Datos!BE9),(Tasas!C9-Datos!BE9)/Datos!BE9," - ")</f>
        <v>0.63730575438263859</v>
      </c>
      <c r="J9" s="348">
        <f>IF(ISNUMBER((Tasas!D9-Datos!BF9)/Datos!BF9),(Tasas!D9-Datos!BF9)/Datos!BF9," - ")</f>
        <v>-0.38010378631659736</v>
      </c>
      <c r="K9" s="350">
        <f>IF(ISNUMBER((Tasas!E9-Datos!BG9)/Datos!BG9),(Tasas!E9-Datos!BG9)/Datos!BG9," - ")</f>
        <v>0.4709308115960083</v>
      </c>
      <c r="M9" t="e">
        <f>IF(Monitorios="SI",Datos!CE9,0)</f>
        <v>#REF!</v>
      </c>
      <c r="N9" t="e">
        <f>IF(Monitorios="SI",Datos!CF9,0)</f>
        <v>#REF!</v>
      </c>
      <c r="O9" t="e">
        <f>IF(Monitorios="SI",Datos!CG9,0)</f>
        <v>#REF!</v>
      </c>
      <c r="P9" t="e">
        <f>IF(Monitorios="SI",Datos!CH9,0)</f>
        <v>#REF!</v>
      </c>
      <c r="Q9">
        <f>IF(J_V="SI",0,Datos!AG9)</f>
        <v>290</v>
      </c>
      <c r="R9">
        <f>IF(J_V="SI",0,Datos!AH9)</f>
        <v>135</v>
      </c>
      <c r="S9">
        <f>IF(J_V="SI",0,Datos!AI9)</f>
        <v>128</v>
      </c>
      <c r="T9">
        <f>IF(J_V="SI",0,Datos!AJ9)</f>
        <v>297</v>
      </c>
    </row>
    <row r="10" spans="2:20" ht="14.25">
      <c r="B10" s="274" t="s">
        <v>247</v>
      </c>
      <c r="C10" s="7" t="str">
        <f>Datos!A10</f>
        <v>Sección De Violencia sobre la Mujer del TI</v>
      </c>
      <c r="D10" s="351">
        <f>IF(ISNUMBER((Datos!I10-Datos!S10)/Datos!S10),(Datos!I10-Datos!S10)/Datos!S10," - ")</f>
        <v>-0.69491525423728817</v>
      </c>
      <c r="E10" s="347">
        <f>IF(ISNUMBER((Datos!J10-Datos!T10)/Datos!T10),(Datos!J10-Datos!T10)/Datos!T10," - ")</f>
        <v>-1</v>
      </c>
      <c r="F10" s="347">
        <f>IF(ISNUMBER((Datos!K10-Datos!U10)/Datos!U10),(Datos!K10-Datos!U10)/Datos!U10," - ")</f>
        <v>-0.86842105263157898</v>
      </c>
      <c r="G10" s="348">
        <f>IF(ISNUMBER((Datos!L10-Datos!V10)/Datos!V10),(Datos!L10-Datos!V10)/Datos!V10," - ")</f>
        <v>-0.65934065934065933</v>
      </c>
      <c r="H10" s="229">
        <f>IF(ISNUMBER((Datos!M10-Datos!W10)/Datos!W10),(Datos!M10-Datos!W10)/Datos!W10," - ")</f>
        <v>-0.79166666666666663</v>
      </c>
      <c r="I10" s="349">
        <f>IF(ISNUMBER((Tasas!C10-Datos!BE10)/Datos!BE10),(Tasas!C10-Datos!BE10)/Datos!BE10," - ")</f>
        <v>1.5890109890109889</v>
      </c>
      <c r="J10" s="348">
        <f>IF(ISNUMBER((Tasas!D10-Datos!BF10)/Datos!BF10),(Tasas!D10-Datos!BF10)/Datos!BF10," - ")</f>
        <v>0.58333333333333337</v>
      </c>
      <c r="K10" s="350">
        <f>IF(ISNUMBER((Tasas!E10-Datos!BG10)/Datos!BG10),(Tasas!E10-Datos!BG10)/Datos!BG10," - ")</f>
        <v>1.1209302325581396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-0.40553633217993079</v>
      </c>
      <c r="I13" s="356">
        <f>IF(ISNUMBER((Tasas!C13-Datos!BE13)/Datos!BE13),(Tasas!C13-Datos!BE13)/Datos!BE13," - ")</f>
        <v>0.64020989991477295</v>
      </c>
      <c r="J13" s="354">
        <f>IF(ISNUMBER((Tasas!D13-Datos!BF13)/Datos!BF13),(Tasas!D13-Datos!BF13)/Datos!BF13," - ")</f>
        <v>-0.37895425575389746</v>
      </c>
      <c r="K13" s="357">
        <f>IF(ISNUMBER((Tasas!E13-Datos!BG13)/Datos!BG13),(Tasas!E13-Datos!BG13)/Datos!BG13," - ")</f>
        <v>0.47293184446935543</v>
      </c>
      <c r="M13" t="e">
        <f>IF(Monitorios="SI",Datos!CE13,0)</f>
        <v>#REF!</v>
      </c>
      <c r="N13" t="e">
        <f>IF(Monitorios="SI",Datos!CF13,0)</f>
        <v>#REF!</v>
      </c>
      <c r="O13" t="e">
        <f>IF(Monitorios="SI",Datos!CG13,0)</f>
        <v>#REF!</v>
      </c>
      <c r="P13" t="e">
        <f>IF(Monitorios="SI",Datos!CH13,0)</f>
        <v>#REF!</v>
      </c>
      <c r="Q13">
        <f>IF(J_V="SI",0,Datos!AG13)</f>
        <v>290</v>
      </c>
      <c r="R13">
        <f>IF(J_V="SI",0,Datos!AH13)</f>
        <v>135</v>
      </c>
      <c r="S13">
        <f>IF(J_V="SI",0,Datos!AI13)</f>
        <v>128</v>
      </c>
      <c r="T13">
        <f>IF(J_V="SI",0,Datos!AJ13)</f>
        <v>297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9.099466582993411E-3</v>
      </c>
      <c r="E15" s="347">
        <f>IF(ISNUMBER(
   IF(D_I="SI",(Datos!J15-Datos!T15)/Datos!T15,(Datos!J15+Datos!AD15-(Datos!T15+Datos!AL15))/(Datos!T15+Datos!AL15))
     ),IF(D_I="SI",(Datos!J15-Datos!T15)/Datos!T15,(Datos!J15+Datos!AD15-(Datos!T15+Datos!AL15))/(Datos!T15+Datos!AL15))," - ")</f>
        <v>-0.16172287687931736</v>
      </c>
      <c r="F15" s="347">
        <f>IF(ISNUMBER(
   IF(D_I="SI",(Datos!K15-Datos!U15)/Datos!U15,(Datos!K15+Datos!AE15-(Datos!U15+Datos!AM15))/(Datos!U15+Datos!AM15))
     ),IF(D_I="SI",(Datos!K15-Datos!U15)/Datos!U15,(Datos!K15+Datos!AE15-(Datos!U15+Datos!AM15))/(Datos!U15+Datos!AM15))," - ")</f>
        <v>-7.3378839590443681E-2</v>
      </c>
      <c r="G15" s="348">
        <f>IF(ISNUMBER(
   IF(D_I="SI",(Datos!L15-Datos!V15)/Datos!V15,(Datos!L15+Datos!AF15-(Datos!V15+Datos!AN15))/(Datos!V15+Datos!AN15))
     ),IF(D_I="SI",(Datos!L15-Datos!V15)/Datos!V15,(Datos!L15+Datos!AF15-(Datos!V15+Datos!AN15))/(Datos!V15+Datos!AN15))," - ")</f>
        <v>-6.0193587416817906E-2</v>
      </c>
      <c r="H15" s="229">
        <f>IF(ISNUMBER((Datos!M15-Datos!W15)/Datos!W15),(Datos!M15-Datos!W15)/Datos!W15," - ")</f>
        <v>-0.32853717026378898</v>
      </c>
      <c r="I15" s="349">
        <f>IF(ISNUMBER((Tasas!C15-Datos!BE15)/Datos!BE15),(Tasas!C15-Datos!BE15)/Datos!BE15," - ")</f>
        <v>1.4229388165275731E-2</v>
      </c>
      <c r="J15" s="348">
        <f>IF(ISNUMBER((Tasas!D15-Datos!BF15)/Datos!BF15),(Tasas!D15-Datos!BF15)/Datos!BF15," - ")</f>
        <v>-0.27536423899554391</v>
      </c>
      <c r="K15" s="350">
        <f>IF(ISNUMBER((Tasas!E15-Datos!BG15)/Datos!BG15),(Tasas!E15-Datos!BG15)/Datos!BG15," - ")</f>
        <v>8.683136911190199E-3</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-0.66666666666666663</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-0.50793650793650791</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-0.76</v>
      </c>
      <c r="G18" s="348">
        <f>IF(ISNUMBER(
   IF(D_I="SI",(Datos!L18-Datos!V18)/Datos!V18,(Datos!L18+Datos!AF18-(Datos!V18+Datos!AN18))/(Datos!V18+Datos!AN18))
     ),IF(D_I="SI",(Datos!L18-Datos!V18)/Datos!V18,(Datos!L18+Datos!AF18-(Datos!V18+Datos!AN18))/(Datos!V18+Datos!AN18))," - ")</f>
        <v>-0.49549549549549549</v>
      </c>
      <c r="H18" s="229" t="str">
        <f>IF(ISNUMBER((Datos!M18-Datos!W18)/Datos!W18),(Datos!M18-Datos!W18)/Datos!W18," - ")</f>
        <v xml:space="preserve"> - </v>
      </c>
      <c r="I18" s="349">
        <f>IF(ISNUMBER((Tasas!C18-Datos!BE18)/Datos!BE18),(Tasas!C18-Datos!BE18)/Datos!BE18," - ")</f>
        <v>1.102102102102102</v>
      </c>
      <c r="J18" s="348" t="str">
        <f>IF(ISNUMBER((Tasas!D18-Datos!BF18)/Datos!BF18),(Tasas!D18-Datos!BF18)/Datos!BF18," - ")</f>
        <v xml:space="preserve"> - </v>
      </c>
      <c r="K18" s="350">
        <f>IF(ISNUMBER((Tasas!E18-Datos!BG18)/Datos!BG18),(Tasas!E18-Datos!BG18)/Datos!BG18," - ")</f>
        <v>0.89950980392156865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-1.1158021712907118E-2</v>
      </c>
      <c r="E19" s="353">
        <f>IF(ISNUMBER(
   IF(D_I="SI",(Datos!J19-Datos!T19)/Datos!T19,(Datos!J19+Datos!AD19-(Datos!T19+Datos!AL19))/(Datos!T19+Datos!AL19))
     ),IF(D_I="SI",(Datos!J19-Datos!T19)/Datos!T19,(Datos!J19+Datos!AD19-(Datos!T19+Datos!AL19))/(Datos!T19+Datos!AL19))," - ")</f>
        <v>-0.16511533791987049</v>
      </c>
      <c r="F19" s="353">
        <f>IF(ISNUMBER(
   IF(D_I="SI",(Datos!K19-Datos!U19)/Datos!U19,(Datos!K19+Datos!AE19-(Datos!U19+Datos!AM19))/(Datos!U19+Datos!AM19))
     ),IF(D_I="SI",(Datos!K19-Datos!U19)/Datos!U19,(Datos!K19+Datos!AE19-(Datos!U19+Datos!AM19))/(Datos!U19+Datos!AM19))," - ")</f>
        <v>-8.1400253057781521E-2</v>
      </c>
      <c r="G19" s="354">
        <f>IF(ISNUMBER(
   IF(D_I="SI",(Datos!L19-Datos!V19)/Datos!V19,(Datos!L19+Datos!AF19-(Datos!V19+Datos!AN19))/(Datos!V19+Datos!AN19))
     ),IF(D_I="SI",(Datos!L19-Datos!V19)/Datos!V19,(Datos!L19+Datos!AF19-(Datos!V19+Datos!AN19))/(Datos!V19+Datos!AN19))," - ")</f>
        <v>-7.4312463428905795E-2</v>
      </c>
      <c r="H19" s="355">
        <f>IF(ISNUMBER((Datos!M19-Datos!W19)/Datos!W19),(Datos!M19-Datos!W19)/Datos!W19," - ")</f>
        <v>-0.32853717026378898</v>
      </c>
      <c r="I19" s="356">
        <f>IF(ISNUMBER((Tasas!C19-Datos!BE19)/Datos!BE19),(Tasas!C19-Datos!BE19)/Datos!BE19," - ")</f>
        <v>7.7158628145382628E-3</v>
      </c>
      <c r="J19" s="354">
        <f>IF(ISNUMBER((Tasas!D19-Datos!BF19)/Datos!BF19),(Tasas!D19-Datos!BF19)/Datos!BF19," - ")</f>
        <v>-0.26903656138450116</v>
      </c>
      <c r="K19" s="357">
        <f>IF(ISNUMBER((Tasas!E19-Datos!BG19)/Datos!BG19),(Tasas!E19-Datos!BG19)/Datos!BG19," - ")</f>
        <v>4.9028545187648348E-3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-7.3199237251645446E-3</v>
      </c>
      <c r="E20" s="362">
        <f>IF(ISNUMBER(
   IF(J_V="SI",(Datos!J20-Datos!T20)/Datos!T20,(Datos!J20+Datos!Z20-(Datos!T20+Datos!AH20))/(Datos!T20+Datos!AH20))
     ),IF(J_V="SI",(Datos!J20-Datos!T20)/Datos!T20,(Datos!J20+Datos!Z20-(Datos!T20+Datos!AH20))/(Datos!T20+Datos!AH20))," - ")</f>
        <v>-0.40851113172541742</v>
      </c>
      <c r="F20" s="362">
        <f>IF(ISNUMBER(
   IF(J_V="SI",(Datos!K20-Datos!U20)/Datos!U20,(Datos!K20+Datos!AA20-(Datos!U20+Datos!AI20))/(Datos!U20+Datos!AI20))
     ),IF(J_V="SI",(Datos!K20-Datos!U20)/Datos!U20,(Datos!K20+Datos!AA20-(Datos!U20+Datos!AI20))/(Datos!U20+Datos!AI20))," - ")</f>
        <v>-0.32092391304347828</v>
      </c>
      <c r="G20" s="363">
        <f>IF(ISNUMBER(
   IF(J_V="SI",(Datos!L20-Datos!V20)/Datos!V20,(Datos!L20+Datos!AB20-(Datos!V20+Datos!AJ20))/(Datos!V20+Datos!AJ20))
     ),IF(J_V="SI",(Datos!L20-Datos!V20)/Datos!V20,(Datos!L20+Datos!AB20-(Datos!V20+Datos!AJ20))/(Datos!V20+Datos!AJ20))," - ")</f>
        <v>-7.3160988415225697E-2</v>
      </c>
      <c r="H20" s="364">
        <f>IF(ISNUMBER((Datos!M20-Datos!W20)/Datos!W20),(Datos!M20-Datos!W20)/Datos!W20," - ")</f>
        <v>-0.38829215896885072</v>
      </c>
      <c r="I20" s="361">
        <f>IF(ISNUMBER((Tasas!C20-Datos!BE20)/Datos!BE20),(Tasas!C20-Datos!BE20)/Datos!BE20," - ")</f>
        <v>0.36485296623928348</v>
      </c>
      <c r="J20" s="362">
        <f>IF(ISNUMBER((Tasas!D20-Datos!BF20)/Datos!BF20),(Tasas!D20-Datos!BF20)/Datos!BF20," - ")</f>
        <v>-0.41435792193972554</v>
      </c>
      <c r="K20" s="363">
        <f>IF(ISNUMBER((Tasas!E20-Datos!BG20)/Datos!BG20),(Tasas!E20-Datos!BG20)/Datos!BG20," - ")</f>
        <v>0.25703623356822319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0.34820912231946344</v>
      </c>
      <c r="E22" s="277">
        <f t="shared" si="1"/>
        <v>0.48300218918070081</v>
      </c>
      <c r="F22" s="277">
        <f t="shared" si="1"/>
        <v>0.44568065086285324</v>
      </c>
      <c r="G22" s="278">
        <f t="shared" si="1"/>
        <v>0.29871007542120093</v>
      </c>
      <c r="H22" s="284">
        <f t="shared" si="1"/>
        <v>0.19417575292993425</v>
      </c>
      <c r="I22" s="276">
        <f t="shared" si="1"/>
        <v>0.61672698126303749</v>
      </c>
      <c r="J22" s="277">
        <f t="shared" si="1"/>
        <v>0.41013808034822552</v>
      </c>
      <c r="K22" s="278">
        <f t="shared" si="1"/>
        <v>0.45457058819553114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7PFh4tXB4IgkOk/KbReVESt3uadMDxzns+gJLHg/EdTPLzxjCMVSc/Ket0EjUpWmsNHioarKZJxhCdAROoQlzg==" saltValue="1/QtiqualHV6Qykj/0tI9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